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ER/Google Drive/4 CDF WEBSITE CONTENT/Models to be uploaded on SD/0_ANP BOCR- General Topics/05_ANP BOCR_Resource Allocation/"/>
    </mc:Choice>
  </mc:AlternateContent>
  <bookViews>
    <workbookView xWindow="820" yWindow="2240" windowWidth="12120" windowHeight="6640"/>
  </bookViews>
  <sheets>
    <sheet name="R&amp;D2" sheetId="1" r:id="rId1"/>
    <sheet name="project list" sheetId="3" r:id="rId2"/>
    <sheet name="project list (2)" sheetId="4" r:id="rId3"/>
    <sheet name="Sheet1" sheetId="5" r:id="rId4"/>
  </sheets>
  <definedNames>
    <definedName name="_xlnm.Print_Area" localSheetId="1">'project list'!$B$3:$J$56</definedName>
    <definedName name="_xlnm.Print_Area" localSheetId="2">'project list (2)'!$B$3:$I$67</definedName>
    <definedName name="solver_adj" localSheetId="0" hidden="1">'R&amp;D2'!$E$5:$E$55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500</definedName>
    <definedName name="solver_lhs1" localSheetId="0" hidden="1">'R&amp;D2'!$E$5:$E$55</definedName>
    <definedName name="solver_lhs2" localSheetId="0" hidden="1">'R&amp;D2'!$E$5:$E$55</definedName>
    <definedName name="solver_lhs3" localSheetId="0" hidden="1">'R&amp;D2'!$E$30:$E$55</definedName>
    <definedName name="solver_lhs4" localSheetId="0" hidden="1">'R&amp;D2'!$E$5:$E$14</definedName>
    <definedName name="solver_lhs5" localSheetId="0" hidden="1">'R&amp;D2'!$E$16:$E$28</definedName>
    <definedName name="solver_lhs6" localSheetId="0" hidden="1">'R&amp;D2'!$F$56</definedName>
    <definedName name="solver_lhs7" localSheetId="0" hidden="1">'R&amp;D2'!$B$60</definedName>
    <definedName name="solver_lhs8" localSheetId="0" hidden="1">'R&amp;D2'!$E$29</definedName>
    <definedName name="solver_lin" localSheetId="0" hidden="1">1</definedName>
    <definedName name="solver_neg" localSheetId="0" hidden="1">2</definedName>
    <definedName name="solver_num" localSheetId="0" hidden="1">8</definedName>
    <definedName name="solver_nwt" localSheetId="0" hidden="1">1</definedName>
    <definedName name="solver_opt" localSheetId="0" hidden="1">'R&amp;D2'!$G$56</definedName>
    <definedName name="solver_pre" localSheetId="0" hidden="1">0.000001</definedName>
    <definedName name="solver_rel1" localSheetId="0" hidden="1">3</definedName>
    <definedName name="solver_rel2" localSheetId="0" hidden="1">1</definedName>
    <definedName name="solver_rel3" localSheetId="0" hidden="1">4</definedName>
    <definedName name="solver_rel4" localSheetId="0" hidden="1">4</definedName>
    <definedName name="solver_rel5" localSheetId="0" hidden="1">4</definedName>
    <definedName name="solver_rel6" localSheetId="0" hidden="1">1</definedName>
    <definedName name="solver_rel7" localSheetId="0" hidden="1">1</definedName>
    <definedName name="solver_rel8" localSheetId="0" hidden="1">3</definedName>
    <definedName name="solver_rhs1" localSheetId="0" hidden="1">0</definedName>
    <definedName name="solver_rhs2" localSheetId="0" hidden="1">1</definedName>
    <definedName name="solver_rhs3" localSheetId="0" hidden="1">integer</definedName>
    <definedName name="solver_rhs4" localSheetId="0" hidden="1">integer</definedName>
    <definedName name="solver_rhs5" localSheetId="0" hidden="1">integer</definedName>
    <definedName name="solver_rhs6" localSheetId="0" hidden="1">'R&amp;D2'!$F$58</definedName>
    <definedName name="solver_rhs7" localSheetId="0" hidden="1">1</definedName>
    <definedName name="solver_rhs8" localSheetId="0" hidden="1">0.5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mp" localSheetId="0" hidden="1">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3" i="3" l="1"/>
  <c r="J32" i="3"/>
  <c r="J31" i="3"/>
  <c r="J30" i="3"/>
  <c r="L33" i="3"/>
  <c r="L32" i="3"/>
  <c r="L31" i="3"/>
  <c r="L30" i="3"/>
  <c r="G7" i="3"/>
  <c r="J11" i="3"/>
  <c r="J10" i="3"/>
  <c r="J9" i="3"/>
  <c r="J8" i="3"/>
  <c r="J7" i="3"/>
  <c r="J6" i="3"/>
  <c r="L7" i="3"/>
  <c r="L8" i="3"/>
  <c r="L9" i="3"/>
  <c r="L10" i="3"/>
  <c r="L11" i="3"/>
  <c r="L6" i="3"/>
  <c r="L52" i="3"/>
  <c r="L51" i="3"/>
  <c r="A40" i="3"/>
  <c r="A44" i="3"/>
  <c r="A55" i="3"/>
  <c r="A54" i="3"/>
  <c r="A23" i="3"/>
  <c r="A21" i="3"/>
  <c r="A13" i="3"/>
  <c r="A51" i="3"/>
  <c r="A31" i="3"/>
  <c r="A30" i="3"/>
  <c r="A10" i="3"/>
  <c r="A7" i="3"/>
  <c r="A8" i="3"/>
  <c r="A9" i="3"/>
  <c r="A11" i="3"/>
  <c r="A12" i="3"/>
  <c r="A14" i="3"/>
  <c r="A15" i="3"/>
  <c r="A16" i="3"/>
  <c r="A17" i="3"/>
  <c r="A18" i="3"/>
  <c r="A19" i="3"/>
  <c r="A20" i="3"/>
  <c r="A22" i="3"/>
  <c r="A24" i="3"/>
  <c r="A25" i="3"/>
  <c r="A26" i="3"/>
  <c r="A27" i="3"/>
  <c r="A28" i="3"/>
  <c r="A29" i="3"/>
  <c r="A32" i="3"/>
  <c r="A33" i="3"/>
  <c r="A34" i="3"/>
  <c r="A35" i="3"/>
  <c r="A36" i="3"/>
  <c r="A37" i="3"/>
  <c r="A38" i="3"/>
  <c r="A39" i="3"/>
  <c r="A41" i="3"/>
  <c r="A42" i="3"/>
  <c r="A43" i="3"/>
  <c r="A45" i="3"/>
  <c r="A46" i="3"/>
  <c r="A47" i="3"/>
  <c r="A48" i="3"/>
  <c r="A49" i="3"/>
  <c r="A50" i="3"/>
  <c r="A52" i="3"/>
  <c r="A53" i="3"/>
  <c r="A56" i="3"/>
  <c r="A6" i="3"/>
  <c r="K14" i="3"/>
  <c r="K15" i="3"/>
  <c r="K16" i="3"/>
  <c r="K17" i="3"/>
  <c r="K18" i="3"/>
  <c r="K8" i="3"/>
  <c r="K19" i="3"/>
  <c r="K20" i="3"/>
  <c r="K21" i="3"/>
  <c r="K22" i="3"/>
  <c r="K23" i="3"/>
  <c r="K24" i="3"/>
  <c r="K25" i="3"/>
  <c r="K26" i="3"/>
  <c r="K27" i="3"/>
  <c r="K28" i="3"/>
  <c r="K9" i="3"/>
  <c r="K10" i="3"/>
  <c r="K11" i="3"/>
  <c r="K29" i="3"/>
  <c r="K30" i="3"/>
  <c r="K34" i="3"/>
  <c r="K35" i="3"/>
  <c r="K36" i="3"/>
  <c r="K37" i="3"/>
  <c r="K38" i="3"/>
  <c r="K39" i="3"/>
  <c r="K40" i="3"/>
  <c r="K31" i="3"/>
  <c r="K32" i="3"/>
  <c r="K41" i="3"/>
  <c r="K42" i="3"/>
  <c r="K43" i="3"/>
  <c r="K44" i="3"/>
  <c r="K45" i="3"/>
  <c r="K46" i="3"/>
  <c r="K47" i="3"/>
  <c r="K33" i="3"/>
  <c r="K48" i="3"/>
  <c r="K49" i="3"/>
  <c r="K50" i="3"/>
  <c r="G51" i="3"/>
  <c r="K51" i="3"/>
  <c r="G52" i="3"/>
  <c r="K52" i="3"/>
  <c r="K53" i="3"/>
  <c r="K54" i="3"/>
  <c r="K55" i="3"/>
  <c r="K56" i="3"/>
  <c r="K7" i="3"/>
  <c r="K12" i="3"/>
  <c r="K13" i="3"/>
  <c r="K6" i="3"/>
  <c r="G55" i="3"/>
  <c r="G53" i="3"/>
  <c r="G17" i="3"/>
  <c r="G16" i="3"/>
  <c r="G13" i="3"/>
  <c r="G14" i="3"/>
  <c r="G12" i="3"/>
  <c r="G15" i="3"/>
  <c r="G23" i="3"/>
  <c r="G39" i="3"/>
  <c r="G37" i="3"/>
  <c r="G38" i="3"/>
  <c r="G36" i="3"/>
  <c r="G35" i="3"/>
  <c r="F37" i="4"/>
  <c r="F39" i="4"/>
  <c r="F40" i="4"/>
  <c r="F41" i="4"/>
  <c r="F42" i="4"/>
  <c r="F44" i="4"/>
  <c r="F47" i="4"/>
  <c r="F55" i="4"/>
  <c r="F61" i="4"/>
  <c r="F60" i="4"/>
  <c r="F8" i="4"/>
  <c r="F9" i="4"/>
  <c r="F10" i="4"/>
  <c r="F11" i="4"/>
  <c r="F12" i="4"/>
  <c r="F13" i="4"/>
  <c r="F14" i="4"/>
  <c r="F15" i="4"/>
  <c r="F18" i="4"/>
  <c r="F19" i="4"/>
  <c r="F28" i="4"/>
  <c r="F34" i="4"/>
  <c r="F33" i="4"/>
  <c r="F63" i="4"/>
  <c r="F64" i="4"/>
  <c r="F66" i="4"/>
  <c r="F67" i="4"/>
  <c r="F69" i="4"/>
  <c r="F68" i="4"/>
  <c r="I57" i="4"/>
  <c r="I46" i="4"/>
  <c r="I45" i="4"/>
  <c r="I35" i="4"/>
  <c r="K39" i="4"/>
  <c r="K37" i="4"/>
  <c r="K36" i="4"/>
  <c r="K35" i="4"/>
  <c r="I29" i="4"/>
  <c r="I32" i="4"/>
  <c r="I31" i="4"/>
  <c r="I16" i="4"/>
  <c r="I10" i="4"/>
  <c r="I6" i="4"/>
  <c r="K7" i="4"/>
  <c r="K8" i="4"/>
  <c r="K9" i="4"/>
  <c r="K10" i="4"/>
  <c r="K11" i="4"/>
  <c r="K6" i="4"/>
  <c r="K63" i="4"/>
  <c r="K62" i="4"/>
  <c r="A43" i="4"/>
  <c r="A49" i="4"/>
  <c r="A63" i="4"/>
  <c r="A62" i="4"/>
  <c r="A19" i="4"/>
  <c r="A25" i="4"/>
  <c r="A9" i="4"/>
  <c r="A64" i="4"/>
  <c r="A45" i="4"/>
  <c r="A35" i="4"/>
  <c r="A32" i="4"/>
  <c r="A10" i="4"/>
  <c r="A16" i="4"/>
  <c r="A31" i="4"/>
  <c r="A29" i="4"/>
  <c r="A14" i="4"/>
  <c r="A12" i="4"/>
  <c r="A8" i="4"/>
  <c r="A11" i="4"/>
  <c r="A13" i="4"/>
  <c r="A7" i="4"/>
  <c r="A17" i="4"/>
  <c r="A27" i="4"/>
  <c r="A26" i="4"/>
  <c r="A22" i="4"/>
  <c r="A21" i="4"/>
  <c r="A20" i="4"/>
  <c r="A23" i="4"/>
  <c r="A24" i="4"/>
  <c r="A30" i="4"/>
  <c r="A46" i="4"/>
  <c r="A57" i="4"/>
  <c r="A36" i="4"/>
  <c r="A40" i="4"/>
  <c r="A39" i="4"/>
  <c r="A42" i="4"/>
  <c r="A37" i="4"/>
  <c r="A41" i="4"/>
  <c r="A54" i="4"/>
  <c r="A53" i="4"/>
  <c r="A48" i="4"/>
  <c r="A51" i="4"/>
  <c r="A52" i="4"/>
  <c r="A50" i="4"/>
  <c r="A56" i="4"/>
  <c r="A59" i="4"/>
  <c r="A58" i="4"/>
  <c r="A67" i="4"/>
  <c r="A66" i="4"/>
  <c r="A65" i="4"/>
  <c r="A6" i="4"/>
  <c r="J14" i="4"/>
  <c r="J16" i="4"/>
  <c r="J17" i="4"/>
  <c r="J19" i="4"/>
  <c r="J20" i="4"/>
  <c r="J8" i="4"/>
  <c r="J21" i="4"/>
  <c r="J22" i="4"/>
  <c r="J23" i="4"/>
  <c r="J24" i="4"/>
  <c r="J25" i="4"/>
  <c r="J26" i="4"/>
  <c r="J27" i="4"/>
  <c r="J29" i="4"/>
  <c r="J30" i="4"/>
  <c r="J31" i="4"/>
  <c r="J9" i="4"/>
  <c r="J10" i="4"/>
  <c r="J11" i="4"/>
  <c r="J32" i="4"/>
  <c r="J35" i="4"/>
  <c r="J40" i="4"/>
  <c r="J41" i="4"/>
  <c r="J42" i="4"/>
  <c r="J43" i="4"/>
  <c r="J45" i="4"/>
  <c r="J46" i="4"/>
  <c r="J48" i="4"/>
  <c r="J36" i="4"/>
  <c r="J37" i="4"/>
  <c r="J49" i="4"/>
  <c r="J50" i="4"/>
  <c r="J51" i="4"/>
  <c r="J52" i="4"/>
  <c r="J53" i="4"/>
  <c r="J54" i="4"/>
  <c r="J56" i="4"/>
  <c r="J39" i="4"/>
  <c r="J57" i="4"/>
  <c r="J58" i="4"/>
  <c r="J59" i="4"/>
  <c r="J62" i="4"/>
  <c r="J63" i="4"/>
  <c r="J64" i="4"/>
  <c r="J65" i="4"/>
  <c r="J66" i="4"/>
  <c r="J67" i="4"/>
  <c r="J7" i="4"/>
  <c r="J12" i="4"/>
  <c r="J13" i="4"/>
  <c r="J6" i="4"/>
  <c r="D121" i="1"/>
  <c r="D120" i="1"/>
  <c r="B60" i="1"/>
  <c r="C6" i="1"/>
  <c r="F6" i="1"/>
  <c r="D6" i="1"/>
  <c r="G6" i="1"/>
  <c r="F7" i="1"/>
  <c r="D7" i="1"/>
  <c r="G7" i="1"/>
  <c r="C8" i="1"/>
  <c r="F8" i="1"/>
  <c r="D8" i="1"/>
  <c r="G8" i="1"/>
  <c r="F9" i="1"/>
  <c r="D9" i="1"/>
  <c r="G9" i="1"/>
  <c r="F10" i="1"/>
  <c r="D10" i="1"/>
  <c r="G10" i="1"/>
  <c r="F11" i="1"/>
  <c r="D11" i="1"/>
  <c r="G11" i="1"/>
  <c r="C12" i="1"/>
  <c r="F12" i="1"/>
  <c r="D12" i="1"/>
  <c r="G12" i="1"/>
  <c r="C13" i="1"/>
  <c r="F13" i="1"/>
  <c r="D13" i="1"/>
  <c r="G13" i="1"/>
  <c r="C14" i="1"/>
  <c r="F14" i="1"/>
  <c r="D14" i="1"/>
  <c r="G14" i="1"/>
  <c r="F15" i="1"/>
  <c r="D15" i="1"/>
  <c r="G15" i="1"/>
  <c r="F16" i="1"/>
  <c r="D16" i="1"/>
  <c r="G16" i="1"/>
  <c r="F17" i="1"/>
  <c r="D17" i="1"/>
  <c r="G17" i="1"/>
  <c r="F18" i="1"/>
  <c r="D18" i="1"/>
  <c r="G18" i="1"/>
  <c r="C19" i="1"/>
  <c r="F19" i="1"/>
  <c r="D19" i="1"/>
  <c r="G19" i="1"/>
  <c r="C20" i="1"/>
  <c r="F20" i="1"/>
  <c r="D20" i="1"/>
  <c r="G20" i="1"/>
  <c r="F21" i="1"/>
  <c r="D21" i="1"/>
  <c r="G21" i="1"/>
  <c r="F22" i="1"/>
  <c r="D22" i="1"/>
  <c r="G22" i="1"/>
  <c r="C23" i="1"/>
  <c r="F23" i="1"/>
  <c r="D23" i="1"/>
  <c r="G23" i="1"/>
  <c r="F24" i="1"/>
  <c r="D24" i="1"/>
  <c r="G24" i="1"/>
  <c r="F25" i="1"/>
  <c r="D25" i="1"/>
  <c r="G25" i="1"/>
  <c r="F26" i="1"/>
  <c r="D26" i="1"/>
  <c r="G26" i="1"/>
  <c r="F27" i="1"/>
  <c r="D27" i="1"/>
  <c r="G27" i="1"/>
  <c r="F28" i="1"/>
  <c r="B28" i="1"/>
  <c r="D28" i="1"/>
  <c r="G28" i="1"/>
  <c r="F29" i="1"/>
  <c r="D29" i="1"/>
  <c r="G29" i="1"/>
  <c r="C30" i="1"/>
  <c r="F30" i="1"/>
  <c r="D30" i="1"/>
  <c r="G30" i="1"/>
  <c r="C31" i="1"/>
  <c r="F31" i="1"/>
  <c r="D31" i="1"/>
  <c r="G31" i="1"/>
  <c r="F32" i="1"/>
  <c r="D32" i="1"/>
  <c r="G32" i="1"/>
  <c r="F33" i="1"/>
  <c r="D33" i="1"/>
  <c r="G33" i="1"/>
  <c r="C34" i="1"/>
  <c r="F34" i="1"/>
  <c r="D34" i="1"/>
  <c r="G34" i="1"/>
  <c r="C35" i="1"/>
  <c r="F35" i="1"/>
  <c r="D35" i="1"/>
  <c r="G35" i="1"/>
  <c r="F36" i="1"/>
  <c r="D36" i="1"/>
  <c r="G36" i="1"/>
  <c r="F37" i="1"/>
  <c r="D37" i="1"/>
  <c r="G37" i="1"/>
  <c r="F38" i="1"/>
  <c r="D38" i="1"/>
  <c r="G38" i="1"/>
  <c r="F39" i="1"/>
  <c r="D39" i="1"/>
  <c r="G39" i="1"/>
  <c r="C40" i="1"/>
  <c r="F40" i="1"/>
  <c r="D40" i="1"/>
  <c r="G40" i="1"/>
  <c r="F41" i="1"/>
  <c r="D41" i="1"/>
  <c r="G41" i="1"/>
  <c r="F42" i="1"/>
  <c r="D42" i="1"/>
  <c r="G42" i="1"/>
  <c r="F43" i="1"/>
  <c r="D43" i="1"/>
  <c r="G43" i="1"/>
  <c r="C44" i="1"/>
  <c r="F44" i="1"/>
  <c r="D44" i="1"/>
  <c r="G44" i="1"/>
  <c r="F45" i="1"/>
  <c r="D45" i="1"/>
  <c r="G45" i="1"/>
  <c r="F46" i="1"/>
  <c r="D46" i="1"/>
  <c r="G46" i="1"/>
  <c r="C47" i="1"/>
  <c r="F47" i="1"/>
  <c r="D47" i="1"/>
  <c r="G47" i="1"/>
  <c r="F48" i="1"/>
  <c r="D48" i="1"/>
  <c r="G48" i="1"/>
  <c r="F49" i="1"/>
  <c r="D49" i="1"/>
  <c r="G49" i="1"/>
  <c r="C50" i="1"/>
  <c r="F50" i="1"/>
  <c r="D50" i="1"/>
  <c r="G50" i="1"/>
  <c r="F51" i="1"/>
  <c r="D51" i="1"/>
  <c r="G51" i="1"/>
  <c r="F52" i="1"/>
  <c r="D52" i="1"/>
  <c r="G52" i="1"/>
  <c r="F53" i="1"/>
  <c r="D53" i="1"/>
  <c r="G53" i="1"/>
  <c r="C54" i="1"/>
  <c r="F54" i="1"/>
  <c r="D54" i="1"/>
  <c r="G54" i="1"/>
  <c r="F55" i="1"/>
  <c r="D55" i="1"/>
  <c r="G55" i="1"/>
  <c r="D5" i="1"/>
  <c r="G5" i="1"/>
  <c r="F5" i="1"/>
  <c r="G56" i="1"/>
  <c r="F56" i="1"/>
  <c r="C5" i="5"/>
  <c r="C4" i="5"/>
</calcChain>
</file>

<file path=xl/sharedStrings.xml><?xml version="1.0" encoding="utf-8"?>
<sst xmlns="http://schemas.openxmlformats.org/spreadsheetml/2006/main" count="454" uniqueCount="147">
  <si>
    <t>Project</t>
  </si>
  <si>
    <t>Effectiveness</t>
  </si>
  <si>
    <t>Cost</t>
  </si>
  <si>
    <t>Performance</t>
  </si>
  <si>
    <t>(Normalized)*100</t>
  </si>
  <si>
    <t>(in '000's)</t>
  </si>
  <si>
    <t>Decision</t>
  </si>
  <si>
    <t>Variable</t>
  </si>
  <si>
    <t>(in 000's)</t>
  </si>
  <si>
    <t>(effectiveness)</t>
  </si>
  <si>
    <t>Total $'s</t>
  </si>
  <si>
    <t>Avail. $'s</t>
  </si>
  <si>
    <t>Performance Score</t>
  </si>
  <si>
    <t xml:space="preserve">Total </t>
  </si>
  <si>
    <t>Master List of Capital Projects</t>
  </si>
  <si>
    <t>Company</t>
  </si>
  <si>
    <t>Department</t>
  </si>
  <si>
    <t>Description</t>
  </si>
  <si>
    <t>Discressionary?</t>
  </si>
  <si>
    <t>Return</t>
  </si>
  <si>
    <t>URR</t>
  </si>
  <si>
    <t>Notes</t>
  </si>
  <si>
    <t>MOW</t>
  </si>
  <si>
    <t>MEC</t>
  </si>
  <si>
    <t>Y</t>
  </si>
  <si>
    <t>TRN</t>
  </si>
  <si>
    <t>Replace 8 Turnouts</t>
  </si>
  <si>
    <t>Replace 300 yard ties</t>
  </si>
  <si>
    <t>Rebuild 6 Culverts</t>
  </si>
  <si>
    <t>Purchase Tie Machine</t>
  </si>
  <si>
    <t>Rebuild 80 Hopper Car Sides</t>
  </si>
  <si>
    <t>Purchase Automated Welder</t>
  </si>
  <si>
    <t>Rebuild 16 Cabooses</t>
  </si>
  <si>
    <t>Purchase 80 Wheelsets</t>
  </si>
  <si>
    <t>Purchase 100 Replacement Wheels</t>
  </si>
  <si>
    <t>Purchase 2 Used Switcher Locos</t>
  </si>
  <si>
    <t>Replace Control Room Display System</t>
  </si>
  <si>
    <t>Replace 6 Crew Vechhicles</t>
  </si>
  <si>
    <t>Replace 2 Heavy Work Trucks</t>
  </si>
  <si>
    <t>Purchase 1 Front-end Loader</t>
  </si>
  <si>
    <t>MIS</t>
  </si>
  <si>
    <t>Expand WAN</t>
  </si>
  <si>
    <t>Replace Tie Line Hub</t>
  </si>
  <si>
    <t>Major Rebuild 4 Locos</t>
  </si>
  <si>
    <t>Build Turnout to Snavley Lumber</t>
  </si>
  <si>
    <t>EJE</t>
  </si>
  <si>
    <t>Mainline Track Replacement</t>
  </si>
  <si>
    <t>Replace 16 Turnouts</t>
  </si>
  <si>
    <t>Replace 1000 yard ties</t>
  </si>
  <si>
    <t>Regrade Hump Yard</t>
  </si>
  <si>
    <t>Pruchse Tie Crane</t>
  </si>
  <si>
    <t>Replace Tamper</t>
  </si>
  <si>
    <t>Replace Bridge Inspector Truck</t>
  </si>
  <si>
    <t>Replace 4 Work Crew Hi-rail trucks</t>
  </si>
  <si>
    <t>Rebuild 120 Coil Cars</t>
  </si>
  <si>
    <t>Purchase 160 Wheelsets</t>
  </si>
  <si>
    <t>Rebuild 28 Box Cars</t>
  </si>
  <si>
    <t>Major Rebuild 8 Locos</t>
  </si>
  <si>
    <t>Purchase 3 Used Mainline Locos</t>
  </si>
  <si>
    <t>Purchase Stake Truck</t>
  </si>
  <si>
    <t>Automate Interlocking @ Joliet &amp; Gary</t>
  </si>
  <si>
    <t>Build Turnout to Ford S. Chicago</t>
  </si>
  <si>
    <t>Build Turnout to Haley Plant</t>
  </si>
  <si>
    <t>Redeck Joliet Bridge</t>
  </si>
  <si>
    <t>Convert 30 Gons to Coil Cars</t>
  </si>
  <si>
    <t>WGN</t>
  </si>
  <si>
    <t>Replace 6 Barges</t>
  </si>
  <si>
    <t>Replace 2 Tug Engines</t>
  </si>
  <si>
    <t>Convert 8 barges for Woodchips</t>
  </si>
  <si>
    <t>Purchase 8 Dedicated Woodchip Barges</t>
  </si>
  <si>
    <t>Upgrade Radar Systems on Tugs</t>
  </si>
  <si>
    <t>Replace  Mainframe</t>
  </si>
  <si>
    <t>Replace Shop Overhead Crane</t>
  </si>
  <si>
    <t>Replace Control Tower at "J"</t>
  </si>
  <si>
    <t>Rebuild Drydock #2</t>
  </si>
  <si>
    <t>Number</t>
  </si>
  <si>
    <t>EJE Total</t>
  </si>
  <si>
    <t>URR Total</t>
  </si>
  <si>
    <t>WGN Total</t>
  </si>
  <si>
    <t>Grand Total</t>
  </si>
  <si>
    <t>MEC Total</t>
  </si>
  <si>
    <t>MIS Total</t>
  </si>
  <si>
    <t>MOW Total</t>
  </si>
  <si>
    <t>TRN Total</t>
  </si>
  <si>
    <t>Budget</t>
  </si>
  <si>
    <t>NPV</t>
  </si>
  <si>
    <t>IRR</t>
  </si>
  <si>
    <t>Payback (yr)</t>
  </si>
  <si>
    <t>Dept.</t>
  </si>
  <si>
    <t>Trans.</t>
  </si>
  <si>
    <t>Convert 8 barges for woodchips</t>
  </si>
  <si>
    <t>Purchase 8 woodchip barges</t>
  </si>
  <si>
    <t>EJE_1MEC_Purchase Automated Welder</t>
  </si>
  <si>
    <t>EJE_2MEC_Convert 30 Gons to Coil Cars</t>
  </si>
  <si>
    <t>EJE_3MIS_Replace Tie Line Hub</t>
  </si>
  <si>
    <t>EJE_4TRN_Automate Interlocking @ Joliet &amp; Gary</t>
  </si>
  <si>
    <t>EJE_5TRN_Build Turnout to Ford S. Chicago</t>
  </si>
  <si>
    <t>EJE_6TRN_Build Turnout to Haley Plant</t>
  </si>
  <si>
    <t>EJE_7MEC_Rebuild 120 Coil Cars</t>
  </si>
  <si>
    <t>EJE_8MEC_Rebuild 28 Box Cars</t>
  </si>
  <si>
    <t>EJE_9MEC_Purchase 160 Wheelsets</t>
  </si>
  <si>
    <t>EJE_10MEC_Purchase 100 Replacement Wheels</t>
  </si>
  <si>
    <t>EJE_11MEC_Major Rebuild 8 Locos</t>
  </si>
  <si>
    <t>EJE_12MEC_Purchase 3 Used Mainline Locos</t>
  </si>
  <si>
    <t>EJE_13MEC_Purchase Stake Truck</t>
  </si>
  <si>
    <t>EJE_14MIS_Replace  Mainframe</t>
  </si>
  <si>
    <t>EJE_15MOW_Mainline Track Replacement</t>
  </si>
  <si>
    <t>EJE_16MOW_Redeck Joliet Bridge</t>
  </si>
  <si>
    <t>EJE_17MOW_Replace 16 Turnouts</t>
  </si>
  <si>
    <t>EJE_18MOW_Replace 1000 yard ties</t>
  </si>
  <si>
    <t>EJE_19MOW_Regrade Hump Yard</t>
  </si>
  <si>
    <t>EJE_20MOW_Replace Bridge Inspector Truck</t>
  </si>
  <si>
    <t>EJE_21MOW_Pruchse Tie Crane</t>
  </si>
  <si>
    <t>EJE_22MOW_Replace Tamper</t>
  </si>
  <si>
    <t>EJE_23MOW_Replace 4 Work Crew Hi-rail trucks</t>
  </si>
  <si>
    <t>EJE_24TRN_Replace 6 Crew Vechhicles</t>
  </si>
  <si>
    <t>URR_25MEC_Purchase Automated Welder</t>
  </si>
  <si>
    <t>URR_26MIS_Expand WAN</t>
  </si>
  <si>
    <t>URR_27MIS_Replace Tie Line Hub</t>
  </si>
  <si>
    <t>URR_28TRN_Build Turnout to Snavley Lumber</t>
  </si>
  <si>
    <t>URR_29MEC_Replace Shop Overhead Crane</t>
  </si>
  <si>
    <t>URR_30MEC_Rebuild 80 Hopper Car Sides</t>
  </si>
  <si>
    <t>URR_31MEC_Rebuild 16 Cabooses</t>
  </si>
  <si>
    <t>URR_32MEC_Purchase 80 Wheelsets</t>
  </si>
  <si>
    <t>URR_33MEC_Purchase 100 Replacement Wheels</t>
  </si>
  <si>
    <t>URR_34MEC_Major Rebuild 4 Locos</t>
  </si>
  <si>
    <t>URR_35MEC_Purchase 2 Used Switcher Locos</t>
  </si>
  <si>
    <t>URR_36MOW_Mainline Track Replacement</t>
  </si>
  <si>
    <t>URR_37MOW_Replace 8 Turnouts</t>
  </si>
  <si>
    <t>URR_38MOW_Replace 300 yard ties</t>
  </si>
  <si>
    <t>URR_39MOW_Rebuild 6 Culverts</t>
  </si>
  <si>
    <t>URR_40MOW_Purchase Tie Machine</t>
  </si>
  <si>
    <t>URR_41MOW_Replace 2 Heavy Work Trucks</t>
  </si>
  <si>
    <t>URR_42MOW_Purchase 1 Front-end Loader</t>
  </si>
  <si>
    <t>URR_43TRN_Replace Control Room Display System</t>
  </si>
  <si>
    <t>URR_44TRN_Replace Control Tower at "J"</t>
  </si>
  <si>
    <t>URR_45TRN_Replace 6 Crew Vechhicles</t>
  </si>
  <si>
    <t>WGN_46TRN_Convert 8 barges for Woodchips</t>
  </si>
  <si>
    <t>WGN_47TRN_Purchase 8 Dedicated Woodchip Barges</t>
  </si>
  <si>
    <t>WGN_48TRN_Replace 6 Barges</t>
  </si>
  <si>
    <t>WGN_49TRN_Replace 2 Tug Engines</t>
  </si>
  <si>
    <t>WGN_50TRN_Upgrade Radar Systems on Tugs</t>
  </si>
  <si>
    <t>WGN_51TRN_Rebuild Drydock #2</t>
  </si>
  <si>
    <t>Capital Budget Allocations</t>
  </si>
  <si>
    <t>(from AHP)</t>
  </si>
  <si>
    <t>WGN Woodchip barges - purchase new or convert only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</si>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</sst>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0.000"/>
    <numFmt numFmtId="166" formatCode="0.000_)"/>
    <numFmt numFmtId="170" formatCode="0.00_)"/>
    <numFmt numFmtId="171" formatCode="0.0_)"/>
    <numFmt numFmtId="172" formatCode="0_)"/>
    <numFmt numFmtId="175" formatCode="0.000000_)"/>
  </numFmts>
  <fonts count="14" x14ac:knownFonts="1">
    <font>
      <sz val="10"/>
      <name val="MS Sans Serif"/>
    </font>
    <font>
      <sz val="10"/>
      <name val="MS Sans Serif"/>
    </font>
    <font>
      <b/>
      <sz val="18"/>
      <name val="MS Sans Serif"/>
      <family val="2"/>
    </font>
    <font>
      <sz val="18"/>
      <name val="MS Sans Serif"/>
      <family val="2"/>
    </font>
    <font>
      <sz val="13"/>
      <name val="MS Sans Serif"/>
      <family val="2"/>
    </font>
    <font>
      <sz val="18"/>
      <name val="@Arial Unicode MS"/>
      <family val="2"/>
    </font>
    <font>
      <sz val="10"/>
      <name val="@Arial Unicode MS"/>
      <family val="2"/>
    </font>
    <font>
      <b/>
      <sz val="12"/>
      <name val="@Arial Unicode MS"/>
      <family val="2"/>
    </font>
    <font>
      <b/>
      <sz val="10"/>
      <name val="@Arial Unicode MS"/>
      <family val="2"/>
    </font>
    <font>
      <sz val="12"/>
      <name val="@Arial Unicode MS"/>
      <family val="2"/>
    </font>
    <font>
      <sz val="16"/>
      <name val="@Arial Unicode MS"/>
      <family val="2"/>
    </font>
    <font>
      <sz val="14"/>
      <name val="@Arial Unicode MS"/>
      <family val="2"/>
    </font>
    <font>
      <b/>
      <sz val="9"/>
      <name val="@Arial Unicode MS"/>
      <family val="2"/>
    </font>
    <font>
      <sz val="9"/>
      <name val="@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166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166" fontId="0" fillId="0" borderId="0" xfId="0"/>
    <xf numFmtId="166" fontId="0" fillId="0" borderId="0" xfId="0" applyAlignment="1">
      <alignment horizontal="center"/>
    </xf>
    <xf numFmtId="166" fontId="2" fillId="0" borderId="0" xfId="0" applyFont="1"/>
    <xf numFmtId="166" fontId="0" fillId="0" borderId="1" xfId="0" applyBorder="1" applyAlignment="1">
      <alignment horizontal="center"/>
    </xf>
    <xf numFmtId="166" fontId="0" fillId="0" borderId="2" xfId="0" applyBorder="1" applyAlignment="1">
      <alignment horizontal="center"/>
    </xf>
    <xf numFmtId="166" fontId="0" fillId="0" borderId="3" xfId="0" applyBorder="1" applyAlignment="1">
      <alignment horizontal="center"/>
    </xf>
    <xf numFmtId="172" fontId="0" fillId="0" borderId="0" xfId="0" applyNumberFormat="1"/>
    <xf numFmtId="38" fontId="1" fillId="0" borderId="0" xfId="1" applyNumberFormat="1"/>
    <xf numFmtId="10" fontId="1" fillId="0" borderId="0" xfId="2" applyNumberFormat="1"/>
    <xf numFmtId="38" fontId="1" fillId="0" borderId="2" xfId="1" applyNumberFormat="1" applyBorder="1" applyAlignment="1">
      <alignment horizontal="center"/>
    </xf>
    <xf numFmtId="10" fontId="1" fillId="0" borderId="2" xfId="2" applyNumberFormat="1" applyBorder="1" applyAlignment="1">
      <alignment horizontal="center"/>
    </xf>
    <xf numFmtId="166" fontId="3" fillId="0" borderId="2" xfId="0" applyFont="1" applyBorder="1" applyAlignment="1">
      <alignment horizontal="center"/>
    </xf>
    <xf numFmtId="38" fontId="3" fillId="0" borderId="2" xfId="1" applyNumberFormat="1" applyFont="1" applyBorder="1" applyAlignment="1">
      <alignment horizontal="center"/>
    </xf>
    <xf numFmtId="166" fontId="3" fillId="0" borderId="0" xfId="0" applyFont="1"/>
    <xf numFmtId="38" fontId="3" fillId="0" borderId="0" xfId="1" applyNumberFormat="1" applyFont="1"/>
    <xf numFmtId="38" fontId="3" fillId="0" borderId="4" xfId="1" applyNumberFormat="1" applyFont="1" applyBorder="1"/>
    <xf numFmtId="38" fontId="3" fillId="0" borderId="5" xfId="1" applyNumberFormat="1" applyFont="1" applyBorder="1"/>
    <xf numFmtId="166" fontId="4" fillId="0" borderId="1" xfId="0" applyFont="1" applyBorder="1" applyAlignment="1">
      <alignment horizontal="center"/>
    </xf>
    <xf numFmtId="166" fontId="4" fillId="0" borderId="2" xfId="0" applyFont="1" applyBorder="1" applyAlignment="1">
      <alignment horizontal="center"/>
    </xf>
    <xf numFmtId="38" fontId="4" fillId="0" borderId="2" xfId="1" applyNumberFormat="1" applyFont="1" applyBorder="1" applyAlignment="1">
      <alignment horizontal="center"/>
    </xf>
    <xf numFmtId="166" fontId="4" fillId="0" borderId="2" xfId="0" applyFont="1" applyFill="1" applyBorder="1" applyAlignment="1">
      <alignment horizontal="center"/>
    </xf>
    <xf numFmtId="166" fontId="4" fillId="0" borderId="3" xfId="0" applyFont="1" applyFill="1" applyBorder="1" applyAlignment="1">
      <alignment horizontal="center"/>
    </xf>
    <xf numFmtId="166" fontId="4" fillId="0" borderId="0" xfId="0" applyFont="1"/>
    <xf numFmtId="38" fontId="4" fillId="0" borderId="0" xfId="1" applyNumberFormat="1" applyFont="1"/>
    <xf numFmtId="10" fontId="4" fillId="0" borderId="0" xfId="2" applyNumberFormat="1" applyFont="1"/>
    <xf numFmtId="170" fontId="4" fillId="0" borderId="0" xfId="0" applyNumberFormat="1" applyFont="1"/>
    <xf numFmtId="38" fontId="4" fillId="0" borderId="3" xfId="1" applyNumberFormat="1" applyFont="1" applyBorder="1" applyAlignment="1">
      <alignment horizontal="center"/>
    </xf>
    <xf numFmtId="166" fontId="5" fillId="0" borderId="0" xfId="0" applyFont="1"/>
    <xf numFmtId="166" fontId="6" fillId="0" borderId="0" xfId="0" applyFont="1"/>
    <xf numFmtId="38" fontId="6" fillId="0" borderId="0" xfId="1" applyNumberFormat="1" applyFont="1"/>
    <xf numFmtId="166" fontId="7" fillId="0" borderId="0" xfId="0" applyFont="1"/>
    <xf numFmtId="166" fontId="7" fillId="0" borderId="0" xfId="0" applyFont="1" applyAlignment="1">
      <alignment horizontal="center"/>
    </xf>
    <xf numFmtId="38" fontId="7" fillId="0" borderId="0" xfId="1" applyNumberFormat="1" applyFont="1" applyAlignment="1">
      <alignment horizontal="center"/>
    </xf>
    <xf numFmtId="166" fontId="8" fillId="0" borderId="0" xfId="0" applyFont="1" applyAlignment="1">
      <alignment horizontal="center"/>
    </xf>
    <xf numFmtId="166" fontId="9" fillId="0" borderId="0" xfId="0" applyFont="1" applyFill="1" applyBorder="1" applyAlignment="1">
      <alignment horizontal="center"/>
    </xf>
    <xf numFmtId="166" fontId="8" fillId="0" borderId="0" xfId="0" applyFont="1" applyFill="1" applyBorder="1" applyAlignment="1">
      <alignment horizontal="center"/>
    </xf>
    <xf numFmtId="38" fontId="8" fillId="0" borderId="0" xfId="1" applyNumberFormat="1" applyFont="1" applyFill="1" applyBorder="1" applyAlignment="1">
      <alignment horizontal="center"/>
    </xf>
    <xf numFmtId="166" fontId="6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10" fillId="0" borderId="0" xfId="0" applyFont="1" applyFill="1" applyBorder="1" applyAlignment="1">
      <alignment horizontal="right"/>
    </xf>
    <xf numFmtId="38" fontId="10" fillId="2" borderId="3" xfId="1" applyNumberFormat="1" applyFont="1" applyFill="1" applyBorder="1" applyAlignment="1">
      <alignment horizontal="center"/>
    </xf>
    <xf numFmtId="166" fontId="10" fillId="3" borderId="6" xfId="0" applyFont="1" applyFill="1" applyBorder="1" applyAlignment="1">
      <alignment horizontal="center"/>
    </xf>
    <xf numFmtId="166" fontId="10" fillId="0" borderId="0" xfId="0" applyFont="1" applyFill="1" applyBorder="1" applyAlignment="1">
      <alignment horizontal="center"/>
    </xf>
    <xf numFmtId="38" fontId="9" fillId="0" borderId="0" xfId="1" applyNumberFormat="1" applyFont="1" applyFill="1" applyBorder="1" applyAlignment="1">
      <alignment horizontal="center"/>
    </xf>
    <xf numFmtId="166" fontId="11" fillId="3" borderId="7" xfId="0" applyFont="1" applyFill="1" applyBorder="1" applyAlignment="1">
      <alignment horizontal="left"/>
    </xf>
    <xf numFmtId="166" fontId="11" fillId="3" borderId="3" xfId="0" applyFont="1" applyFill="1" applyBorder="1" applyAlignment="1">
      <alignment horizontal="left"/>
    </xf>
    <xf numFmtId="38" fontId="10" fillId="4" borderId="3" xfId="1" applyNumberFormat="1" applyFont="1" applyFill="1" applyBorder="1" applyAlignment="1">
      <alignment horizontal="center"/>
    </xf>
    <xf numFmtId="166" fontId="10" fillId="0" borderId="0" xfId="0" applyFont="1" applyAlignment="1">
      <alignment horizontal="left"/>
    </xf>
    <xf numFmtId="166" fontId="10" fillId="0" borderId="0" xfId="0" applyFont="1" applyAlignment="1">
      <alignment horizontal="center"/>
    </xf>
    <xf numFmtId="38" fontId="6" fillId="0" borderId="0" xfId="1" applyNumberFormat="1" applyFont="1" applyFill="1" applyBorder="1" applyAlignment="1">
      <alignment horizontal="center"/>
    </xf>
    <xf numFmtId="38" fontId="6" fillId="0" borderId="0" xfId="1" applyNumberFormat="1" applyFont="1" applyFill="1" applyBorder="1"/>
    <xf numFmtId="165" fontId="9" fillId="0" borderId="0" xfId="0" applyNumberFormat="1" applyFont="1"/>
    <xf numFmtId="38" fontId="9" fillId="0" borderId="0" xfId="1" applyNumberFormat="1" applyFont="1"/>
    <xf numFmtId="165" fontId="9" fillId="0" borderId="0" xfId="0" applyNumberFormat="1" applyFont="1" applyAlignment="1">
      <alignment horizontal="right"/>
    </xf>
    <xf numFmtId="166" fontId="9" fillId="0" borderId="0" xfId="0" applyFont="1"/>
    <xf numFmtId="166" fontId="12" fillId="0" borderId="0" xfId="0" applyFont="1"/>
    <xf numFmtId="166" fontId="13" fillId="0" borderId="0" xfId="0" applyFont="1"/>
    <xf numFmtId="175" fontId="8" fillId="0" borderId="0" xfId="0" applyNumberFormat="1" applyFont="1" applyAlignment="1">
      <alignment horizontal="center"/>
    </xf>
    <xf numFmtId="38" fontId="8" fillId="0" borderId="0" xfId="1" applyNumberFormat="1" applyFont="1"/>
    <xf numFmtId="38" fontId="8" fillId="0" borderId="0" xfId="1" applyNumberFormat="1" applyFont="1" applyAlignment="1">
      <alignment horizontal="center"/>
    </xf>
    <xf numFmtId="38" fontId="7" fillId="0" borderId="0" xfId="1" applyNumberFormat="1" applyFont="1"/>
    <xf numFmtId="171" fontId="6" fillId="0" borderId="0" xfId="0" applyNumberFormat="1" applyFont="1"/>
    <xf numFmtId="171" fontId="7" fillId="0" borderId="0" xfId="0" applyNumberFormat="1" applyFont="1" applyAlignment="1">
      <alignment horizontal="center"/>
    </xf>
    <xf numFmtId="171" fontId="8" fillId="0" borderId="0" xfId="0" applyNumberFormat="1" applyFont="1" applyAlignment="1">
      <alignment horizontal="center"/>
    </xf>
    <xf numFmtId="171" fontId="10" fillId="0" borderId="1" xfId="0" applyNumberFormat="1" applyFont="1" applyFill="1" applyBorder="1" applyAlignment="1">
      <alignment horizontal="center"/>
    </xf>
    <xf numFmtId="171" fontId="6" fillId="0" borderId="0" xfId="0" applyNumberFormat="1" applyFont="1" applyFill="1" applyBorder="1" applyAlignment="1">
      <alignment horizontal="center"/>
    </xf>
    <xf numFmtId="171" fontId="6" fillId="0" borderId="0" xfId="0" applyNumberFormat="1" applyFont="1" applyFill="1" applyBorder="1"/>
    <xf numFmtId="171" fontId="9" fillId="0" borderId="0" xfId="0" applyNumberFormat="1" applyFont="1"/>
    <xf numFmtId="166" fontId="13" fillId="0" borderId="0" xfId="0" applyFont="1" applyFill="1"/>
    <xf numFmtId="175" fontId="8" fillId="0" borderId="0" xfId="0" applyNumberFormat="1" applyFont="1" applyFill="1" applyAlignment="1">
      <alignment horizontal="center"/>
    </xf>
    <xf numFmtId="38" fontId="7" fillId="0" borderId="0" xfId="1" applyNumberFormat="1" applyFont="1" applyFill="1"/>
    <xf numFmtId="165" fontId="9" fillId="0" borderId="0" xfId="0" applyNumberFormat="1" applyFont="1" applyFill="1"/>
    <xf numFmtId="171" fontId="9" fillId="0" borderId="0" xfId="0" applyNumberFormat="1" applyFont="1" applyFill="1"/>
    <xf numFmtId="38" fontId="9" fillId="0" borderId="0" xfId="1" applyNumberFormat="1" applyFont="1" applyFill="1"/>
    <xf numFmtId="165" fontId="9" fillId="0" borderId="0" xfId="0" applyNumberFormat="1" applyFont="1" applyFill="1" applyAlignment="1">
      <alignment horizontal="right"/>
    </xf>
    <xf numFmtId="166" fontId="9" fillId="0" borderId="0" xfId="0" applyFont="1" applyFill="1"/>
    <xf numFmtId="166" fontId="6" fillId="0" borderId="0" xfId="0" applyFont="1" applyFill="1"/>
    <xf numFmtId="166" fontId="9" fillId="0" borderId="0" xfId="0" applyFont="1" applyFill="1" applyAlignment="1">
      <alignment horizontal="right"/>
    </xf>
    <xf numFmtId="166" fontId="7" fillId="0" borderId="8" xfId="0" applyFont="1" applyBorder="1"/>
    <xf numFmtId="175" fontId="8" fillId="0" borderId="9" xfId="0" applyNumberFormat="1" applyFont="1" applyBorder="1" applyAlignment="1">
      <alignment horizontal="center"/>
    </xf>
    <xf numFmtId="38" fontId="7" fillId="0" borderId="9" xfId="1" applyNumberFormat="1" applyFont="1" applyBorder="1" applyAlignment="1">
      <alignment horizontal="center"/>
    </xf>
    <xf numFmtId="166" fontId="9" fillId="0" borderId="7" xfId="0" applyFont="1" applyFill="1" applyBorder="1" applyAlignment="1">
      <alignment horizontal="center"/>
    </xf>
    <xf numFmtId="175" fontId="8" fillId="0" borderId="10" xfId="0" applyNumberFormat="1" applyFont="1" applyBorder="1" applyAlignment="1">
      <alignment horizontal="center"/>
    </xf>
    <xf numFmtId="38" fontId="8" fillId="0" borderId="10" xfId="1" applyNumberFormat="1" applyFont="1" applyFill="1" applyBorder="1" applyAlignment="1">
      <alignment horizontal="center"/>
    </xf>
    <xf numFmtId="166" fontId="7" fillId="0" borderId="9" xfId="0" applyFont="1" applyBorder="1" applyAlignment="1">
      <alignment horizontal="center"/>
    </xf>
    <xf numFmtId="171" fontId="6" fillId="0" borderId="11" xfId="0" applyNumberFormat="1" applyFont="1" applyFill="1" applyBorder="1"/>
    <xf numFmtId="166" fontId="8" fillId="0" borderId="10" xfId="0" applyFont="1" applyFill="1" applyBorder="1" applyAlignment="1">
      <alignment horizontal="center"/>
    </xf>
    <xf numFmtId="171" fontId="8" fillId="0" borderId="12" xfId="0" applyNumberFormat="1" applyFont="1" applyFill="1" applyBorder="1" applyAlignment="1">
      <alignment horizontal="center"/>
    </xf>
    <xf numFmtId="172" fontId="6" fillId="0" borderId="0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tabSelected="1" zoomScale="90" workbookViewId="0">
      <pane ySplit="4" topLeftCell="A37" activePane="bottomLeft" state="frozen"/>
      <selection pane="bottomLeft" activeCell="D14" sqref="D14"/>
    </sheetView>
  </sheetViews>
  <sheetFormatPr baseColWidth="10" defaultColWidth="9.19921875" defaultRowHeight="16" x14ac:dyDescent="0.25"/>
  <cols>
    <col min="1" max="1" width="49.796875" style="28" customWidth="1"/>
    <col min="2" max="2" width="15.19921875" style="57" customWidth="1"/>
    <col min="3" max="3" width="14.19921875" style="58" customWidth="1"/>
    <col min="4" max="4" width="20.19921875" style="28" customWidth="1"/>
    <col min="5" max="5" width="16.19921875" style="61" customWidth="1"/>
    <col min="6" max="6" width="21.19921875" style="29" customWidth="1"/>
    <col min="7" max="7" width="16" style="28" customWidth="1"/>
    <col min="8" max="8" width="12.19921875" style="28" customWidth="1"/>
    <col min="9" max="17" width="10.19921875" style="28" bestFit="1" customWidth="1"/>
    <col min="18" max="16384" width="9.19921875" style="28"/>
  </cols>
  <sheetData>
    <row r="1" spans="1:8" ht="26.25" customHeight="1" x14ac:dyDescent="0.35">
      <c r="A1" s="27" t="s">
        <v>143</v>
      </c>
    </row>
    <row r="2" spans="1:8" ht="13.5" customHeight="1" x14ac:dyDescent="0.25"/>
    <row r="3" spans="1:8" ht="18" x14ac:dyDescent="0.25">
      <c r="A3" s="30" t="s">
        <v>0</v>
      </c>
      <c r="B3" s="57" t="s">
        <v>13</v>
      </c>
      <c r="C3" s="32" t="s">
        <v>2</v>
      </c>
      <c r="D3" s="31" t="s">
        <v>1</v>
      </c>
      <c r="E3" s="62" t="s">
        <v>6</v>
      </c>
      <c r="F3" s="32" t="s">
        <v>2</v>
      </c>
      <c r="G3" s="31" t="s">
        <v>3</v>
      </c>
      <c r="H3" s="33"/>
    </row>
    <row r="4" spans="1:8" ht="18" x14ac:dyDescent="0.25">
      <c r="A4" s="34"/>
      <c r="B4" s="57" t="s">
        <v>144</v>
      </c>
      <c r="C4" s="36" t="s">
        <v>5</v>
      </c>
      <c r="D4" s="35" t="s">
        <v>4</v>
      </c>
      <c r="E4" s="63" t="s">
        <v>7</v>
      </c>
      <c r="F4" s="36" t="s">
        <v>8</v>
      </c>
      <c r="G4" s="35" t="s">
        <v>9</v>
      </c>
      <c r="H4" s="37"/>
    </row>
    <row r="5" spans="1:8" ht="18" x14ac:dyDescent="0.25">
      <c r="A5" s="55" t="s">
        <v>115</v>
      </c>
      <c r="B5" s="57">
        <v>0.12386800000000001</v>
      </c>
      <c r="C5" s="58">
        <v>180</v>
      </c>
      <c r="D5" s="31">
        <f>(B5/0.123868)*100</f>
        <v>100</v>
      </c>
      <c r="E5" s="62">
        <v>1</v>
      </c>
      <c r="F5" s="32">
        <f>E5*C5</f>
        <v>180</v>
      </c>
      <c r="G5" s="38">
        <f>E5*D5</f>
        <v>100</v>
      </c>
      <c r="H5" s="37"/>
    </row>
    <row r="6" spans="1:8" ht="18" x14ac:dyDescent="0.25">
      <c r="A6" s="55" t="s">
        <v>101</v>
      </c>
      <c r="B6" s="57">
        <v>0.101342</v>
      </c>
      <c r="C6" s="58">
        <f>(100*900)/1000</f>
        <v>90</v>
      </c>
      <c r="D6" s="31">
        <f t="shared" ref="D6:D55" si="0">(B6/0.123868)*100</f>
        <v>81.814512222688663</v>
      </c>
      <c r="E6" s="62">
        <v>1</v>
      </c>
      <c r="F6" s="32">
        <f t="shared" ref="F6:F55" si="1">E6*C6</f>
        <v>90</v>
      </c>
      <c r="G6" s="38">
        <f t="shared" ref="G6:G55" si="2">E6*D6</f>
        <v>81.814512222688663</v>
      </c>
      <c r="H6" s="37"/>
    </row>
    <row r="7" spans="1:8" ht="18" x14ac:dyDescent="0.25">
      <c r="A7" s="55" t="s">
        <v>130</v>
      </c>
      <c r="B7" s="57">
        <v>5.9611999999999998E-2</v>
      </c>
      <c r="C7" s="58">
        <v>42</v>
      </c>
      <c r="D7" s="31">
        <f t="shared" si="0"/>
        <v>48.12542383827946</v>
      </c>
      <c r="E7" s="62">
        <v>1</v>
      </c>
      <c r="F7" s="32">
        <f t="shared" si="1"/>
        <v>42</v>
      </c>
      <c r="G7" s="38">
        <f t="shared" si="2"/>
        <v>48.12542383827946</v>
      </c>
      <c r="H7" s="37"/>
    </row>
    <row r="8" spans="1:8" ht="18" x14ac:dyDescent="0.25">
      <c r="A8" s="55" t="s">
        <v>100</v>
      </c>
      <c r="B8" s="57">
        <v>5.5916E-2</v>
      </c>
      <c r="C8" s="58">
        <f>(160*2500)/1000</f>
        <v>400</v>
      </c>
      <c r="D8" s="31">
        <f t="shared" si="0"/>
        <v>45.141602350889656</v>
      </c>
      <c r="E8" s="62">
        <v>1</v>
      </c>
      <c r="F8" s="32">
        <f t="shared" si="1"/>
        <v>400</v>
      </c>
      <c r="G8" s="38">
        <f t="shared" si="2"/>
        <v>45.141602350889656</v>
      </c>
      <c r="H8" s="37"/>
    </row>
    <row r="9" spans="1:8" ht="18" x14ac:dyDescent="0.25">
      <c r="A9" s="55" t="s">
        <v>107</v>
      </c>
      <c r="B9" s="57">
        <v>5.3572000000000002E-2</v>
      </c>
      <c r="C9" s="58">
        <v>345</v>
      </c>
      <c r="D9" s="31">
        <f t="shared" si="0"/>
        <v>43.24926534698227</v>
      </c>
      <c r="E9" s="62">
        <v>1</v>
      </c>
      <c r="F9" s="32">
        <f t="shared" si="1"/>
        <v>345</v>
      </c>
      <c r="G9" s="38">
        <f t="shared" si="2"/>
        <v>43.24926534698227</v>
      </c>
      <c r="H9" s="37"/>
    </row>
    <row r="10" spans="1:8" ht="18" x14ac:dyDescent="0.25">
      <c r="A10" s="55" t="s">
        <v>111</v>
      </c>
      <c r="B10" s="57">
        <v>4.7003000000000003E-2</v>
      </c>
      <c r="C10" s="58">
        <v>165</v>
      </c>
      <c r="D10" s="31">
        <f t="shared" si="0"/>
        <v>37.946039332192335</v>
      </c>
      <c r="E10" s="62">
        <v>1</v>
      </c>
      <c r="F10" s="32">
        <f t="shared" si="1"/>
        <v>165</v>
      </c>
      <c r="G10" s="38">
        <f t="shared" si="2"/>
        <v>37.946039332192335</v>
      </c>
      <c r="H10" s="37"/>
    </row>
    <row r="11" spans="1:8" ht="18" x14ac:dyDescent="0.25">
      <c r="A11" s="55" t="s">
        <v>96</v>
      </c>
      <c r="B11" s="57">
        <v>4.2407E-2</v>
      </c>
      <c r="C11" s="58">
        <v>1200</v>
      </c>
      <c r="D11" s="31">
        <f t="shared" si="0"/>
        <v>34.235637937158906</v>
      </c>
      <c r="E11" s="62">
        <v>1</v>
      </c>
      <c r="F11" s="32">
        <f t="shared" si="1"/>
        <v>1200</v>
      </c>
      <c r="G11" s="38">
        <f t="shared" si="2"/>
        <v>34.235637937158906</v>
      </c>
      <c r="H11" s="37"/>
    </row>
    <row r="12" spans="1:8" ht="18" x14ac:dyDescent="0.25">
      <c r="A12" s="55" t="s">
        <v>141</v>
      </c>
      <c r="B12" s="57">
        <v>3.7440000000000001E-2</v>
      </c>
      <c r="C12" s="58">
        <f>(12000*18)/1000</f>
        <v>216</v>
      </c>
      <c r="D12" s="31">
        <f t="shared" si="0"/>
        <v>30.225724157974614</v>
      </c>
      <c r="E12" s="62">
        <v>1</v>
      </c>
      <c r="F12" s="32">
        <f t="shared" si="1"/>
        <v>216</v>
      </c>
      <c r="G12" s="38">
        <f t="shared" si="2"/>
        <v>30.225724157974614</v>
      </c>
      <c r="H12" s="37"/>
    </row>
    <row r="13" spans="1:8" ht="18" x14ac:dyDescent="0.25">
      <c r="A13" s="55" t="s">
        <v>102</v>
      </c>
      <c r="B13" s="57">
        <v>3.2680000000000001E-2</v>
      </c>
      <c r="C13" s="58">
        <f>(8*45000)/1000</f>
        <v>360</v>
      </c>
      <c r="D13" s="31">
        <f t="shared" si="0"/>
        <v>26.382923757548362</v>
      </c>
      <c r="E13" s="62">
        <v>1</v>
      </c>
      <c r="F13" s="32">
        <f t="shared" si="1"/>
        <v>360</v>
      </c>
      <c r="G13" s="38">
        <f t="shared" si="2"/>
        <v>26.382923757548362</v>
      </c>
      <c r="H13" s="37"/>
    </row>
    <row r="14" spans="1:8" ht="18" x14ac:dyDescent="0.25">
      <c r="A14" s="55" t="s">
        <v>98</v>
      </c>
      <c r="B14" s="57">
        <v>3.0771E-2</v>
      </c>
      <c r="C14" s="58">
        <f>(120*12000)/1000</f>
        <v>1440</v>
      </c>
      <c r="D14" s="31">
        <f t="shared" si="0"/>
        <v>24.841767042335388</v>
      </c>
      <c r="E14" s="62">
        <v>1</v>
      </c>
      <c r="F14" s="32">
        <f t="shared" si="1"/>
        <v>1440</v>
      </c>
      <c r="G14" s="38">
        <f t="shared" si="2"/>
        <v>24.841767042335388</v>
      </c>
      <c r="H14" s="37"/>
    </row>
    <row r="15" spans="1:8" ht="18" x14ac:dyDescent="0.25">
      <c r="A15" s="55" t="s">
        <v>127</v>
      </c>
      <c r="B15" s="57">
        <v>3.0728999999999999E-2</v>
      </c>
      <c r="C15" s="58">
        <v>670</v>
      </c>
      <c r="D15" s="31">
        <f t="shared" si="0"/>
        <v>24.807859979978687</v>
      </c>
      <c r="E15" s="62">
        <v>1</v>
      </c>
      <c r="F15" s="32">
        <f t="shared" si="1"/>
        <v>670</v>
      </c>
      <c r="G15" s="38">
        <f t="shared" si="2"/>
        <v>24.807859979978687</v>
      </c>
      <c r="H15" s="37"/>
    </row>
    <row r="16" spans="1:8" ht="18" x14ac:dyDescent="0.25">
      <c r="A16" s="55" t="s">
        <v>113</v>
      </c>
      <c r="B16" s="57">
        <v>2.5547E-2</v>
      </c>
      <c r="C16" s="58">
        <v>180</v>
      </c>
      <c r="D16" s="31">
        <f t="shared" si="0"/>
        <v>20.624374333968419</v>
      </c>
      <c r="E16" s="62">
        <v>1</v>
      </c>
      <c r="F16" s="32">
        <f t="shared" si="1"/>
        <v>180</v>
      </c>
      <c r="G16" s="38">
        <f t="shared" si="2"/>
        <v>20.624374333968419</v>
      </c>
      <c r="H16" s="37"/>
    </row>
    <row r="17" spans="1:8" ht="18" x14ac:dyDescent="0.25">
      <c r="A17" s="55" t="s">
        <v>140</v>
      </c>
      <c r="B17" s="57">
        <v>2.4316999999999998E-2</v>
      </c>
      <c r="C17" s="58">
        <v>170</v>
      </c>
      <c r="D17" s="31">
        <f t="shared" si="0"/>
        <v>19.631381793522134</v>
      </c>
      <c r="E17" s="62">
        <v>1</v>
      </c>
      <c r="F17" s="32">
        <f t="shared" si="1"/>
        <v>170</v>
      </c>
      <c r="G17" s="38">
        <f t="shared" si="2"/>
        <v>19.631381793522134</v>
      </c>
      <c r="H17" s="37"/>
    </row>
    <row r="18" spans="1:8" ht="18" x14ac:dyDescent="0.25">
      <c r="A18" s="55" t="s">
        <v>105</v>
      </c>
      <c r="B18" s="57">
        <v>2.4216000000000001E-2</v>
      </c>
      <c r="C18" s="58">
        <v>140</v>
      </c>
      <c r="D18" s="31">
        <f t="shared" si="0"/>
        <v>19.549843381664353</v>
      </c>
      <c r="E18" s="62">
        <v>1</v>
      </c>
      <c r="F18" s="32">
        <f t="shared" si="1"/>
        <v>140</v>
      </c>
      <c r="G18" s="38">
        <f t="shared" si="2"/>
        <v>19.549843381664353</v>
      </c>
      <c r="H18" s="37"/>
    </row>
    <row r="19" spans="1:8" ht="18" x14ac:dyDescent="0.25">
      <c r="A19" s="55" t="s">
        <v>99</v>
      </c>
      <c r="B19" s="57">
        <v>2.2332999999999999E-2</v>
      </c>
      <c r="C19" s="58">
        <f>(28*4000)/1000</f>
        <v>112</v>
      </c>
      <c r="D19" s="31">
        <f t="shared" si="0"/>
        <v>18.029676752672195</v>
      </c>
      <c r="E19" s="62">
        <v>1</v>
      </c>
      <c r="F19" s="32">
        <f t="shared" si="1"/>
        <v>112</v>
      </c>
      <c r="G19" s="38">
        <f t="shared" si="2"/>
        <v>18.029676752672195</v>
      </c>
      <c r="H19" s="37"/>
    </row>
    <row r="20" spans="1:8" ht="18" x14ac:dyDescent="0.25">
      <c r="A20" s="55" t="s">
        <v>93</v>
      </c>
      <c r="B20" s="57">
        <v>2.1203E-2</v>
      </c>
      <c r="C20" s="58">
        <f>(30*12000)/1000</f>
        <v>360</v>
      </c>
      <c r="D20" s="31">
        <f t="shared" si="0"/>
        <v>17.117415313075206</v>
      </c>
      <c r="E20" s="62">
        <v>1</v>
      </c>
      <c r="F20" s="32">
        <f t="shared" si="1"/>
        <v>360</v>
      </c>
      <c r="G20" s="38">
        <f t="shared" si="2"/>
        <v>17.117415313075206</v>
      </c>
      <c r="H20" s="37"/>
    </row>
    <row r="21" spans="1:8" ht="18" x14ac:dyDescent="0.25">
      <c r="A21" s="55" t="s">
        <v>104</v>
      </c>
      <c r="B21" s="57">
        <v>1.9276999999999999E-2</v>
      </c>
      <c r="C21" s="58">
        <v>85</v>
      </c>
      <c r="D21" s="31">
        <f t="shared" si="0"/>
        <v>15.56253431071786</v>
      </c>
      <c r="E21" s="62">
        <v>1</v>
      </c>
      <c r="F21" s="32">
        <f t="shared" si="1"/>
        <v>85</v>
      </c>
      <c r="G21" s="38">
        <f t="shared" si="2"/>
        <v>15.56253431071786</v>
      </c>
      <c r="H21" s="37"/>
    </row>
    <row r="22" spans="1:8" ht="18" x14ac:dyDescent="0.25">
      <c r="A22" s="55" t="s">
        <v>112</v>
      </c>
      <c r="B22" s="57">
        <v>1.8192E-2</v>
      </c>
      <c r="C22" s="58">
        <v>95</v>
      </c>
      <c r="D22" s="31">
        <f t="shared" si="0"/>
        <v>14.686601866503052</v>
      </c>
      <c r="E22" s="62">
        <v>1</v>
      </c>
      <c r="F22" s="32">
        <f t="shared" si="1"/>
        <v>95</v>
      </c>
      <c r="G22" s="38">
        <f t="shared" si="2"/>
        <v>14.686601866503052</v>
      </c>
      <c r="H22" s="37"/>
    </row>
    <row r="23" spans="1:8" ht="18" x14ac:dyDescent="0.25">
      <c r="A23" s="55" t="s">
        <v>137</v>
      </c>
      <c r="B23" s="57">
        <v>1.7316000000000002E-2</v>
      </c>
      <c r="C23" s="58">
        <f>(8*35000)/1000</f>
        <v>280</v>
      </c>
      <c r="D23" s="31">
        <f t="shared" si="0"/>
        <v>13.979397423063261</v>
      </c>
      <c r="E23" s="62">
        <v>1</v>
      </c>
      <c r="F23" s="32">
        <f t="shared" si="1"/>
        <v>280</v>
      </c>
      <c r="G23" s="38">
        <f t="shared" si="2"/>
        <v>13.979397423063261</v>
      </c>
      <c r="H23" s="37"/>
    </row>
    <row r="24" spans="1:8" ht="18" x14ac:dyDescent="0.25">
      <c r="A24" s="55" t="s">
        <v>95</v>
      </c>
      <c r="B24" s="57">
        <v>1.4135999999999999E-2</v>
      </c>
      <c r="C24" s="58">
        <v>300</v>
      </c>
      <c r="D24" s="31">
        <f t="shared" si="0"/>
        <v>11.4121484160558</v>
      </c>
      <c r="E24" s="62">
        <v>1</v>
      </c>
      <c r="F24" s="32">
        <f t="shared" si="1"/>
        <v>300</v>
      </c>
      <c r="G24" s="38">
        <f t="shared" si="2"/>
        <v>11.4121484160558</v>
      </c>
      <c r="H24" s="37"/>
    </row>
    <row r="25" spans="1:8" ht="18" x14ac:dyDescent="0.25">
      <c r="A25" s="55" t="s">
        <v>129</v>
      </c>
      <c r="B25" s="57">
        <v>1.2652999999999999E-2</v>
      </c>
      <c r="C25" s="58">
        <v>28</v>
      </c>
      <c r="D25" s="31">
        <f t="shared" si="0"/>
        <v>10.214906190460812</v>
      </c>
      <c r="E25" s="62">
        <v>1</v>
      </c>
      <c r="F25" s="32">
        <f t="shared" si="1"/>
        <v>28</v>
      </c>
      <c r="G25" s="38">
        <f t="shared" si="2"/>
        <v>10.214906190460812</v>
      </c>
      <c r="H25" s="37"/>
    </row>
    <row r="26" spans="1:8" ht="18" x14ac:dyDescent="0.25">
      <c r="A26" s="55" t="s">
        <v>108</v>
      </c>
      <c r="B26" s="57">
        <v>1.2255E-2</v>
      </c>
      <c r="C26" s="58">
        <v>640</v>
      </c>
      <c r="D26" s="31">
        <f t="shared" si="0"/>
        <v>9.893596409080633</v>
      </c>
      <c r="E26" s="62">
        <v>1</v>
      </c>
      <c r="F26" s="32">
        <f t="shared" si="1"/>
        <v>640</v>
      </c>
      <c r="G26" s="38">
        <f t="shared" si="2"/>
        <v>9.893596409080633</v>
      </c>
      <c r="H26" s="37"/>
    </row>
    <row r="27" spans="1:8" ht="18" x14ac:dyDescent="0.25">
      <c r="A27" s="55" t="s">
        <v>97</v>
      </c>
      <c r="B27" s="57">
        <v>1.0602E-2</v>
      </c>
      <c r="C27" s="58">
        <v>160</v>
      </c>
      <c r="D27" s="31">
        <f t="shared" si="0"/>
        <v>8.5591113120418498</v>
      </c>
      <c r="E27" s="62">
        <v>1</v>
      </c>
      <c r="F27" s="32">
        <f t="shared" si="1"/>
        <v>160</v>
      </c>
      <c r="G27" s="38">
        <f t="shared" si="2"/>
        <v>8.5591113120418498</v>
      </c>
      <c r="H27" s="37"/>
    </row>
    <row r="28" spans="1:8" ht="18" x14ac:dyDescent="0.25">
      <c r="A28" s="55" t="s">
        <v>131</v>
      </c>
      <c r="B28" s="57">
        <f>1-(SUM(B1:B27,B29:B39))</f>
        <v>6.8633999999999862E-2</v>
      </c>
      <c r="C28" s="58">
        <v>145</v>
      </c>
      <c r="D28" s="31">
        <f t="shared" si="0"/>
        <v>55.408983756902394</v>
      </c>
      <c r="E28" s="62">
        <v>1</v>
      </c>
      <c r="F28" s="32">
        <f t="shared" si="1"/>
        <v>145</v>
      </c>
      <c r="G28" s="38">
        <f t="shared" si="2"/>
        <v>55.408983756902394</v>
      </c>
      <c r="H28" s="37"/>
    </row>
    <row r="29" spans="1:8" ht="18" x14ac:dyDescent="0.25">
      <c r="A29" s="55" t="s">
        <v>106</v>
      </c>
      <c r="B29" s="57">
        <v>1.0067E-2</v>
      </c>
      <c r="C29" s="58">
        <v>1450</v>
      </c>
      <c r="D29" s="31">
        <f t="shared" si="0"/>
        <v>8.1271999224981428</v>
      </c>
      <c r="E29" s="62">
        <v>0.55393103448730263</v>
      </c>
      <c r="F29" s="32">
        <f t="shared" si="1"/>
        <v>803.20000000658877</v>
      </c>
      <c r="G29" s="38">
        <f t="shared" si="2"/>
        <v>4.5019082605545222</v>
      </c>
      <c r="H29" s="37"/>
    </row>
    <row r="30" spans="1:8" ht="18" x14ac:dyDescent="0.25">
      <c r="A30" s="55" t="s">
        <v>103</v>
      </c>
      <c r="B30" s="57">
        <v>9.9170000000000005E-3</v>
      </c>
      <c r="C30" s="58">
        <f>(3*300000)/1000</f>
        <v>900</v>
      </c>
      <c r="D30" s="31">
        <f t="shared" si="0"/>
        <v>8.0061032712242053</v>
      </c>
      <c r="E30" s="62">
        <v>0</v>
      </c>
      <c r="F30" s="32">
        <f t="shared" si="1"/>
        <v>0</v>
      </c>
      <c r="G30" s="38">
        <f t="shared" si="2"/>
        <v>0</v>
      </c>
      <c r="H30" s="37"/>
    </row>
    <row r="31" spans="1:8" ht="18" x14ac:dyDescent="0.25">
      <c r="A31" s="55" t="s">
        <v>123</v>
      </c>
      <c r="B31" s="57">
        <v>9.2599999999999991E-3</v>
      </c>
      <c r="C31" s="58">
        <f>(80*2500)/1000</f>
        <v>200</v>
      </c>
      <c r="D31" s="31">
        <f t="shared" si="0"/>
        <v>7.4756999386443619</v>
      </c>
      <c r="E31" s="62">
        <v>1</v>
      </c>
      <c r="F31" s="32">
        <f t="shared" si="1"/>
        <v>200</v>
      </c>
      <c r="G31" s="38">
        <f t="shared" si="2"/>
        <v>7.4756999386443619</v>
      </c>
      <c r="H31" s="37"/>
    </row>
    <row r="32" spans="1:8" ht="18" x14ac:dyDescent="0.25">
      <c r="A32" s="55" t="s">
        <v>128</v>
      </c>
      <c r="B32" s="57">
        <v>9.1990000000000006E-3</v>
      </c>
      <c r="C32" s="58">
        <v>320</v>
      </c>
      <c r="D32" s="31">
        <f t="shared" si="0"/>
        <v>7.426453967126295</v>
      </c>
      <c r="E32" s="62">
        <v>1</v>
      </c>
      <c r="F32" s="32">
        <f t="shared" si="1"/>
        <v>320</v>
      </c>
      <c r="G32" s="38">
        <f t="shared" si="2"/>
        <v>7.426453967126295</v>
      </c>
      <c r="H32" s="37"/>
    </row>
    <row r="33" spans="1:8" ht="18" x14ac:dyDescent="0.25">
      <c r="A33" s="55" t="s">
        <v>134</v>
      </c>
      <c r="B33" s="57">
        <v>9.1889999999999993E-3</v>
      </c>
      <c r="C33" s="58">
        <v>9.8000000000000007</v>
      </c>
      <c r="D33" s="31">
        <f t="shared" si="0"/>
        <v>7.418380857041365</v>
      </c>
      <c r="E33" s="62">
        <v>1</v>
      </c>
      <c r="F33" s="32">
        <f t="shared" si="1"/>
        <v>9.8000000000000007</v>
      </c>
      <c r="G33" s="38">
        <f t="shared" si="2"/>
        <v>7.418380857041365</v>
      </c>
      <c r="H33" s="37"/>
    </row>
    <row r="34" spans="1:8" ht="18" x14ac:dyDescent="0.25">
      <c r="A34" s="55" t="s">
        <v>138</v>
      </c>
      <c r="B34" s="57">
        <v>8.6580000000000008E-3</v>
      </c>
      <c r="C34" s="58">
        <f>(8*425000)/1000</f>
        <v>3400</v>
      </c>
      <c r="D34" s="31">
        <f t="shared" si="0"/>
        <v>6.9896987115316307</v>
      </c>
      <c r="E34" s="62">
        <v>0</v>
      </c>
      <c r="F34" s="32">
        <f t="shared" si="1"/>
        <v>0</v>
      </c>
      <c r="G34" s="38">
        <f t="shared" si="2"/>
        <v>0</v>
      </c>
      <c r="H34" s="37"/>
    </row>
    <row r="35" spans="1:8" ht="18" x14ac:dyDescent="0.25">
      <c r="A35" s="55" t="s">
        <v>124</v>
      </c>
      <c r="B35" s="57">
        <v>8.5900000000000004E-3</v>
      </c>
      <c r="C35" s="58">
        <f>(100*900)/1000</f>
        <v>90</v>
      </c>
      <c r="D35" s="31">
        <f t="shared" si="0"/>
        <v>6.9348015629541129</v>
      </c>
      <c r="E35" s="62">
        <v>1</v>
      </c>
      <c r="F35" s="32">
        <f t="shared" si="1"/>
        <v>90</v>
      </c>
      <c r="G35" s="38">
        <f t="shared" si="2"/>
        <v>6.9348015629541129</v>
      </c>
      <c r="H35" s="37"/>
    </row>
    <row r="36" spans="1:8" ht="18" x14ac:dyDescent="0.25">
      <c r="A36" s="55" t="s">
        <v>94</v>
      </c>
      <c r="B36" s="57">
        <v>8.4810000000000007E-3</v>
      </c>
      <c r="C36" s="58">
        <v>80</v>
      </c>
      <c r="D36" s="31">
        <f t="shared" si="0"/>
        <v>6.8468046630283856</v>
      </c>
      <c r="E36" s="62">
        <v>1</v>
      </c>
      <c r="F36" s="32">
        <f t="shared" si="1"/>
        <v>80</v>
      </c>
      <c r="G36" s="38">
        <f t="shared" si="2"/>
        <v>6.8468046630283856</v>
      </c>
      <c r="H36" s="37"/>
    </row>
    <row r="37" spans="1:8" ht="18" x14ac:dyDescent="0.25">
      <c r="A37" s="55" t="s">
        <v>132</v>
      </c>
      <c r="B37" s="57">
        <v>7.2430000000000003E-3</v>
      </c>
      <c r="C37" s="58">
        <v>170</v>
      </c>
      <c r="D37" s="31">
        <f t="shared" si="0"/>
        <v>5.8473536345141603</v>
      </c>
      <c r="E37" s="62">
        <v>1</v>
      </c>
      <c r="F37" s="32">
        <f t="shared" si="1"/>
        <v>170</v>
      </c>
      <c r="G37" s="38">
        <f t="shared" si="2"/>
        <v>5.8473536345141603</v>
      </c>
      <c r="H37" s="37"/>
    </row>
    <row r="38" spans="1:8" ht="18" x14ac:dyDescent="0.25">
      <c r="A38" s="55" t="s">
        <v>92</v>
      </c>
      <c r="B38" s="57">
        <v>7.0679999999999996E-3</v>
      </c>
      <c r="C38" s="58">
        <v>45</v>
      </c>
      <c r="D38" s="31">
        <f t="shared" si="0"/>
        <v>5.7060742080278999</v>
      </c>
      <c r="E38" s="62">
        <v>1</v>
      </c>
      <c r="F38" s="32">
        <f t="shared" si="1"/>
        <v>45</v>
      </c>
      <c r="G38" s="38">
        <f t="shared" si="2"/>
        <v>5.7060742080278999</v>
      </c>
      <c r="H38" s="37"/>
    </row>
    <row r="39" spans="1:8" ht="18" x14ac:dyDescent="0.25">
      <c r="A39" s="55" t="s">
        <v>133</v>
      </c>
      <c r="B39" s="57">
        <v>6.3070000000000001E-3</v>
      </c>
      <c r="C39" s="58">
        <v>140</v>
      </c>
      <c r="D39" s="31">
        <f t="shared" si="0"/>
        <v>5.0917105305647947</v>
      </c>
      <c r="E39" s="62">
        <v>1</v>
      </c>
      <c r="F39" s="32">
        <f t="shared" si="1"/>
        <v>140</v>
      </c>
      <c r="G39" s="38">
        <f t="shared" si="2"/>
        <v>5.0917105305647947</v>
      </c>
      <c r="H39" s="37"/>
    </row>
    <row r="40" spans="1:8" ht="18" x14ac:dyDescent="0.25">
      <c r="A40" s="55" t="s">
        <v>139</v>
      </c>
      <c r="B40" s="57">
        <v>6.28E-3</v>
      </c>
      <c r="C40" s="58">
        <f>(6*400000)/1000</f>
        <v>2400</v>
      </c>
      <c r="D40" s="31">
        <f t="shared" si="0"/>
        <v>5.0699131333354863</v>
      </c>
      <c r="E40" s="62">
        <v>0</v>
      </c>
      <c r="F40" s="32">
        <f t="shared" si="1"/>
        <v>0</v>
      </c>
      <c r="G40" s="38">
        <f t="shared" si="2"/>
        <v>0</v>
      </c>
      <c r="H40" s="37"/>
    </row>
    <row r="41" spans="1:8" ht="18" x14ac:dyDescent="0.25">
      <c r="A41" s="55" t="s">
        <v>119</v>
      </c>
      <c r="B41" s="57">
        <v>6.234E-3</v>
      </c>
      <c r="C41" s="58">
        <v>145</v>
      </c>
      <c r="D41" s="31">
        <f t="shared" si="0"/>
        <v>5.0327768269448114</v>
      </c>
      <c r="E41" s="62">
        <v>1</v>
      </c>
      <c r="F41" s="32">
        <f t="shared" si="1"/>
        <v>145</v>
      </c>
      <c r="G41" s="38">
        <f t="shared" si="2"/>
        <v>5.0327768269448114</v>
      </c>
      <c r="H41" s="37"/>
    </row>
    <row r="42" spans="1:8" ht="18" x14ac:dyDescent="0.25">
      <c r="A42" s="55" t="s">
        <v>114</v>
      </c>
      <c r="B42" s="57">
        <v>6.2189999999999997E-3</v>
      </c>
      <c r="C42" s="58">
        <v>240</v>
      </c>
      <c r="D42" s="31">
        <f t="shared" si="0"/>
        <v>5.0206671618174177</v>
      </c>
      <c r="E42" s="62">
        <v>1</v>
      </c>
      <c r="F42" s="32">
        <f t="shared" si="1"/>
        <v>240</v>
      </c>
      <c r="G42" s="38">
        <f t="shared" si="2"/>
        <v>5.0206671618174177</v>
      </c>
      <c r="H42" s="37"/>
    </row>
    <row r="43" spans="1:8" ht="18" x14ac:dyDescent="0.25">
      <c r="A43" s="55" t="s">
        <v>110</v>
      </c>
      <c r="B43" s="57">
        <v>5.5510000000000004E-3</v>
      </c>
      <c r="C43" s="58">
        <v>180</v>
      </c>
      <c r="D43" s="31">
        <f t="shared" si="0"/>
        <v>4.4813834081441541</v>
      </c>
      <c r="E43" s="62">
        <v>1</v>
      </c>
      <c r="F43" s="32">
        <f t="shared" si="1"/>
        <v>180</v>
      </c>
      <c r="G43" s="38">
        <f t="shared" si="2"/>
        <v>4.4813834081441541</v>
      </c>
      <c r="H43" s="37"/>
    </row>
    <row r="44" spans="1:8" ht="18" x14ac:dyDescent="0.25">
      <c r="A44" s="55" t="s">
        <v>109</v>
      </c>
      <c r="B44" s="57">
        <v>5.5050000000000003E-3</v>
      </c>
      <c r="C44" s="58">
        <f>(28000*3)/1000</f>
        <v>84</v>
      </c>
      <c r="D44" s="31">
        <f t="shared" si="0"/>
        <v>4.4442471017534801</v>
      </c>
      <c r="E44" s="62">
        <v>1</v>
      </c>
      <c r="F44" s="32">
        <f t="shared" si="1"/>
        <v>84</v>
      </c>
      <c r="G44" s="38">
        <f t="shared" si="2"/>
        <v>4.4442471017534801</v>
      </c>
      <c r="H44" s="37"/>
    </row>
    <row r="45" spans="1:8" ht="18" x14ac:dyDescent="0.25">
      <c r="A45" s="55" t="s">
        <v>126</v>
      </c>
      <c r="B45" s="57">
        <v>5.1739999999999998E-3</v>
      </c>
      <c r="C45" s="58">
        <v>300</v>
      </c>
      <c r="D45" s="31">
        <f t="shared" si="0"/>
        <v>4.1770271579423248</v>
      </c>
      <c r="E45" s="62">
        <v>1</v>
      </c>
      <c r="F45" s="32">
        <f t="shared" si="1"/>
        <v>300</v>
      </c>
      <c r="G45" s="38">
        <f t="shared" si="2"/>
        <v>4.1770271579423248</v>
      </c>
      <c r="H45" s="37"/>
    </row>
    <row r="46" spans="1:8" ht="18" x14ac:dyDescent="0.25">
      <c r="A46" s="55" t="s">
        <v>142</v>
      </c>
      <c r="B46" s="57">
        <v>4.0860000000000002E-3</v>
      </c>
      <c r="C46" s="58">
        <v>350</v>
      </c>
      <c r="D46" s="31">
        <f t="shared" si="0"/>
        <v>3.2986727807020375</v>
      </c>
      <c r="E46" s="62">
        <v>1</v>
      </c>
      <c r="F46" s="32">
        <f t="shared" si="1"/>
        <v>350</v>
      </c>
      <c r="G46" s="38">
        <f t="shared" si="2"/>
        <v>3.2986727807020375</v>
      </c>
      <c r="H46" s="37"/>
    </row>
    <row r="47" spans="1:8" ht="18" x14ac:dyDescent="0.25">
      <c r="A47" s="55" t="s">
        <v>121</v>
      </c>
      <c r="B47" s="57">
        <v>3.5330000000000001E-3</v>
      </c>
      <c r="C47" s="58">
        <f>(80*2250)/1000</f>
        <v>180</v>
      </c>
      <c r="D47" s="31">
        <f t="shared" si="0"/>
        <v>2.8522297930054572</v>
      </c>
      <c r="E47" s="62">
        <v>1</v>
      </c>
      <c r="F47" s="32">
        <f t="shared" si="1"/>
        <v>180</v>
      </c>
      <c r="G47" s="38">
        <f t="shared" si="2"/>
        <v>2.8522297930054572</v>
      </c>
      <c r="H47" s="37"/>
    </row>
    <row r="48" spans="1:8" ht="18" x14ac:dyDescent="0.25">
      <c r="A48" s="55" t="s">
        <v>116</v>
      </c>
      <c r="B48" s="57">
        <v>3.117E-3</v>
      </c>
      <c r="C48" s="58">
        <v>45</v>
      </c>
      <c r="D48" s="31">
        <f t="shared" si="0"/>
        <v>2.5163884134724057</v>
      </c>
      <c r="E48" s="62">
        <v>1</v>
      </c>
      <c r="F48" s="32">
        <f t="shared" si="1"/>
        <v>45</v>
      </c>
      <c r="G48" s="38">
        <f t="shared" si="2"/>
        <v>2.5163884134724057</v>
      </c>
      <c r="H48" s="37"/>
    </row>
    <row r="49" spans="1:8" ht="18" x14ac:dyDescent="0.25">
      <c r="A49" s="55" t="s">
        <v>136</v>
      </c>
      <c r="B49" s="57">
        <v>3.0760000000000002E-3</v>
      </c>
      <c r="C49" s="58">
        <v>180</v>
      </c>
      <c r="D49" s="31">
        <f t="shared" si="0"/>
        <v>2.4832886621241967</v>
      </c>
      <c r="E49" s="62">
        <v>1</v>
      </c>
      <c r="F49" s="32">
        <f t="shared" si="1"/>
        <v>180</v>
      </c>
      <c r="G49" s="38">
        <f t="shared" si="2"/>
        <v>2.4832886621241967</v>
      </c>
      <c r="H49" s="37"/>
    </row>
    <row r="50" spans="1:8" ht="18" x14ac:dyDescent="0.25">
      <c r="A50" s="55" t="s">
        <v>125</v>
      </c>
      <c r="B50" s="57">
        <v>2.1510000000000001E-3</v>
      </c>
      <c r="C50" s="58">
        <f>(4*45000)/1000</f>
        <v>180</v>
      </c>
      <c r="D50" s="31">
        <f t="shared" si="0"/>
        <v>1.7365259792682533</v>
      </c>
      <c r="E50" s="62">
        <v>0</v>
      </c>
      <c r="F50" s="32">
        <f t="shared" si="1"/>
        <v>0</v>
      </c>
      <c r="G50" s="38">
        <f t="shared" si="2"/>
        <v>0</v>
      </c>
      <c r="H50" s="37"/>
    </row>
    <row r="51" spans="1:8" ht="18" x14ac:dyDescent="0.25">
      <c r="A51" s="55" t="s">
        <v>118</v>
      </c>
      <c r="B51" s="57">
        <v>2.078E-3</v>
      </c>
      <c r="C51" s="58">
        <v>40</v>
      </c>
      <c r="D51" s="31">
        <f t="shared" si="0"/>
        <v>1.6775922756482704</v>
      </c>
      <c r="E51" s="62">
        <v>1</v>
      </c>
      <c r="F51" s="32">
        <f t="shared" si="1"/>
        <v>40</v>
      </c>
      <c r="G51" s="38">
        <f t="shared" si="2"/>
        <v>1.6775922756482704</v>
      </c>
      <c r="H51" s="37"/>
    </row>
    <row r="52" spans="1:8" ht="18" x14ac:dyDescent="0.25">
      <c r="A52" s="55" t="s">
        <v>117</v>
      </c>
      <c r="B52" s="57">
        <v>1.5579999999999999E-3</v>
      </c>
      <c r="C52" s="58">
        <v>35</v>
      </c>
      <c r="D52" s="31">
        <f t="shared" si="0"/>
        <v>1.2577905512319565</v>
      </c>
      <c r="E52" s="62">
        <v>1</v>
      </c>
      <c r="F52" s="32">
        <f t="shared" si="1"/>
        <v>35</v>
      </c>
      <c r="G52" s="38">
        <f t="shared" si="2"/>
        <v>1.2577905512319565</v>
      </c>
      <c r="H52" s="37"/>
    </row>
    <row r="53" spans="1:8" ht="18" x14ac:dyDescent="0.25">
      <c r="A53" s="55" t="s">
        <v>135</v>
      </c>
      <c r="B53" s="57">
        <v>1.3730000000000001E-3</v>
      </c>
      <c r="C53" s="58">
        <v>220</v>
      </c>
      <c r="D53" s="31">
        <f t="shared" si="0"/>
        <v>1.108438014660768</v>
      </c>
      <c r="E53" s="62">
        <v>0</v>
      </c>
      <c r="F53" s="32">
        <f t="shared" si="1"/>
        <v>0</v>
      </c>
      <c r="G53" s="38">
        <f t="shared" si="2"/>
        <v>0</v>
      </c>
      <c r="H53" s="37"/>
    </row>
    <row r="54" spans="1:8" ht="18" x14ac:dyDescent="0.25">
      <c r="A54" s="55" t="s">
        <v>122</v>
      </c>
      <c r="B54" s="57">
        <v>1.3470000000000001E-3</v>
      </c>
      <c r="C54" s="58">
        <f>(16*8000)/1000</f>
        <v>128</v>
      </c>
      <c r="D54" s="31">
        <f t="shared" si="0"/>
        <v>1.0874479284399523</v>
      </c>
      <c r="E54" s="62">
        <v>0</v>
      </c>
      <c r="F54" s="32">
        <f t="shared" si="1"/>
        <v>0</v>
      </c>
      <c r="G54" s="38">
        <f t="shared" si="2"/>
        <v>0</v>
      </c>
      <c r="H54" s="37"/>
    </row>
    <row r="55" spans="1:8" ht="19" thickBot="1" x14ac:dyDescent="0.3">
      <c r="A55" s="55" t="s">
        <v>120</v>
      </c>
      <c r="B55" s="57">
        <v>1.1381E-3</v>
      </c>
      <c r="C55" s="58">
        <v>60</v>
      </c>
      <c r="D55" s="31">
        <f t="shared" si="0"/>
        <v>0.91880065876578287</v>
      </c>
      <c r="E55" s="62">
        <v>1</v>
      </c>
      <c r="F55" s="32">
        <f t="shared" si="1"/>
        <v>60</v>
      </c>
      <c r="G55" s="38">
        <f t="shared" si="2"/>
        <v>0.91880065876578287</v>
      </c>
      <c r="H55" s="37"/>
    </row>
    <row r="56" spans="1:8" ht="24" thickBot="1" x14ac:dyDescent="0.35">
      <c r="A56" s="55"/>
      <c r="D56" s="39"/>
      <c r="E56" s="64" t="s">
        <v>10</v>
      </c>
      <c r="F56" s="40">
        <f>SUM(F5:F55)</f>
        <v>11500.000000006588</v>
      </c>
      <c r="G56" s="41">
        <f>SUM(G5:G55)</f>
        <v>826.85077963976482</v>
      </c>
    </row>
    <row r="57" spans="1:8" ht="24" thickBot="1" x14ac:dyDescent="0.35">
      <c r="A57" s="56"/>
      <c r="C57" s="59"/>
      <c r="D57" s="42"/>
      <c r="F57" s="43"/>
      <c r="G57" s="44" t="s">
        <v>12</v>
      </c>
      <c r="H57" s="45"/>
    </row>
    <row r="58" spans="1:8" ht="24" thickBot="1" x14ac:dyDescent="0.35">
      <c r="A58" s="56"/>
      <c r="C58" s="59"/>
      <c r="D58" s="39"/>
      <c r="E58" s="64" t="s">
        <v>11</v>
      </c>
      <c r="F58" s="46">
        <v>11500</v>
      </c>
      <c r="G58" s="47"/>
      <c r="H58" s="48"/>
    </row>
    <row r="59" spans="1:8" x14ac:dyDescent="0.25">
      <c r="A59" s="56"/>
      <c r="C59" s="59"/>
      <c r="D59" s="37"/>
      <c r="E59" s="65"/>
      <c r="F59" s="49"/>
      <c r="G59" s="37"/>
      <c r="H59" s="37"/>
    </row>
    <row r="60" spans="1:8" x14ac:dyDescent="0.25">
      <c r="A60" s="56" t="s">
        <v>145</v>
      </c>
      <c r="B60" s="57">
        <f>+E40+E23</f>
        <v>1</v>
      </c>
      <c r="E60" s="66"/>
      <c r="F60" s="50"/>
    </row>
    <row r="61" spans="1:8" x14ac:dyDescent="0.25">
      <c r="A61" s="56"/>
      <c r="E61" s="66"/>
      <c r="F61" s="50"/>
    </row>
    <row r="62" spans="1:8" x14ac:dyDescent="0.25">
      <c r="A62" s="56"/>
      <c r="E62" s="66"/>
      <c r="F62" s="50"/>
    </row>
    <row r="63" spans="1:8" x14ac:dyDescent="0.25">
      <c r="A63" s="56"/>
      <c r="E63" s="66"/>
      <c r="F63" s="50"/>
    </row>
    <row r="64" spans="1:8" x14ac:dyDescent="0.25">
      <c r="A64" s="56"/>
      <c r="E64" s="66"/>
      <c r="F64" s="50"/>
    </row>
    <row r="65" spans="1:17" x14ac:dyDescent="0.25">
      <c r="A65" s="56"/>
      <c r="E65" s="66"/>
      <c r="F65" s="50"/>
    </row>
    <row r="66" spans="1:17" x14ac:dyDescent="0.25">
      <c r="A66" s="56"/>
      <c r="E66" s="66"/>
      <c r="F66" s="50"/>
    </row>
    <row r="67" spans="1:17" x14ac:dyDescent="0.25">
      <c r="A67" s="56"/>
      <c r="E67" s="66"/>
      <c r="F67" s="50"/>
    </row>
    <row r="68" spans="1:17" x14ac:dyDescent="0.25">
      <c r="A68" s="56"/>
      <c r="E68" s="66"/>
      <c r="F68" s="50"/>
    </row>
    <row r="69" spans="1:17" x14ac:dyDescent="0.25">
      <c r="F69" s="50"/>
    </row>
    <row r="70" spans="1:17" x14ac:dyDescent="0.25">
      <c r="F70" s="50"/>
    </row>
    <row r="71" spans="1:17" x14ac:dyDescent="0.25">
      <c r="F71" s="50"/>
    </row>
    <row r="72" spans="1:17" x14ac:dyDescent="0.25">
      <c r="F72" s="50"/>
    </row>
    <row r="73" spans="1:17" x14ac:dyDescent="0.25">
      <c r="A73" s="56"/>
      <c r="E73" s="66"/>
      <c r="F73" s="50"/>
    </row>
    <row r="74" spans="1:17" x14ac:dyDescent="0.25">
      <c r="A74" s="55"/>
      <c r="E74" s="66"/>
      <c r="F74" s="50"/>
    </row>
    <row r="75" spans="1:17" x14ac:dyDescent="0.25">
      <c r="A75" s="56"/>
    </row>
    <row r="76" spans="1:17" ht="18" x14ac:dyDescent="0.25">
      <c r="A76" s="56"/>
      <c r="C76" s="60"/>
      <c r="D76" s="51"/>
      <c r="E76" s="67"/>
      <c r="F76" s="52"/>
      <c r="G76" s="51"/>
      <c r="H76" s="51"/>
      <c r="I76" s="51"/>
      <c r="J76" s="51"/>
      <c r="K76" s="51"/>
      <c r="L76" s="53"/>
      <c r="M76" s="53"/>
      <c r="N76" s="54"/>
      <c r="O76" s="54"/>
      <c r="P76" s="54"/>
      <c r="Q76" s="54"/>
    </row>
    <row r="77" spans="1:17" s="76" customFormat="1" ht="18" x14ac:dyDescent="0.25">
      <c r="A77" s="68"/>
      <c r="B77" s="69"/>
      <c r="C77" s="70"/>
      <c r="D77" s="71"/>
      <c r="E77" s="72"/>
      <c r="F77" s="73"/>
      <c r="G77" s="71"/>
      <c r="H77" s="71"/>
      <c r="I77" s="71"/>
      <c r="J77" s="71"/>
      <c r="K77" s="71"/>
      <c r="L77" s="74"/>
      <c r="M77" s="74"/>
      <c r="N77" s="75"/>
      <c r="O77" s="75"/>
      <c r="P77" s="75"/>
      <c r="Q77" s="75"/>
    </row>
    <row r="78" spans="1:17" s="76" customFormat="1" ht="18" x14ac:dyDescent="0.25">
      <c r="A78" s="68"/>
      <c r="B78" s="69"/>
      <c r="C78" s="70"/>
      <c r="D78" s="75"/>
      <c r="E78" s="72"/>
      <c r="F78" s="73"/>
      <c r="G78" s="75"/>
      <c r="H78" s="77"/>
      <c r="I78" s="75"/>
      <c r="J78" s="75"/>
      <c r="K78" s="75"/>
      <c r="L78" s="75"/>
      <c r="M78" s="75"/>
      <c r="N78" s="75"/>
      <c r="O78" s="75"/>
      <c r="P78" s="75"/>
      <c r="Q78" s="75"/>
    </row>
    <row r="79" spans="1:17" x14ac:dyDescent="0.25">
      <c r="A79" s="56"/>
    </row>
    <row r="80" spans="1:17" x14ac:dyDescent="0.25">
      <c r="A80" s="56"/>
    </row>
    <row r="117" spans="1:5" ht="17" thickBot="1" x14ac:dyDescent="0.3"/>
    <row r="118" spans="1:5" ht="18" x14ac:dyDescent="0.25">
      <c r="A118" s="78" t="s">
        <v>0</v>
      </c>
      <c r="B118" s="79" t="s">
        <v>13</v>
      </c>
      <c r="C118" s="80" t="s">
        <v>2</v>
      </c>
      <c r="D118" s="84" t="s">
        <v>1</v>
      </c>
      <c r="E118" s="85"/>
    </row>
    <row r="119" spans="1:5" ht="19" thickBot="1" x14ac:dyDescent="0.3">
      <c r="A119" s="81"/>
      <c r="B119" s="82" t="s">
        <v>144</v>
      </c>
      <c r="C119" s="83" t="s">
        <v>5</v>
      </c>
      <c r="D119" s="86" t="s">
        <v>4</v>
      </c>
      <c r="E119" s="87" t="s">
        <v>146</v>
      </c>
    </row>
    <row r="120" spans="1:5" ht="18" x14ac:dyDescent="0.25">
      <c r="A120" s="55" t="s">
        <v>115</v>
      </c>
      <c r="B120" s="57">
        <v>0.12386800000000001</v>
      </c>
      <c r="C120" s="58">
        <v>180</v>
      </c>
      <c r="D120" s="31">
        <f>(B120/0.123868)*100</f>
        <v>100</v>
      </c>
      <c r="E120" s="88">
        <v>1</v>
      </c>
    </row>
    <row r="121" spans="1:5" ht="18" x14ac:dyDescent="0.25">
      <c r="A121" s="55" t="s">
        <v>136</v>
      </c>
      <c r="B121" s="57">
        <v>3.0760000000000002E-3</v>
      </c>
      <c r="C121" s="58">
        <v>180</v>
      </c>
      <c r="D121" s="31">
        <f>(B121/0.123868)*100</f>
        <v>2.4832886621241967</v>
      </c>
      <c r="E121" s="88">
        <v>45</v>
      </c>
    </row>
  </sheetData>
  <phoneticPr fontId="2" type="noConversion"/>
  <printOptions gridLines="1" gridLinesSet="0"/>
  <pageMargins left="0.7" right="0.7" top="0.75" bottom="0.75" header="0.5" footer="0.5"/>
  <pageSetup orientation="portrait" verticalDpi="4294967292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L63"/>
  <sheetViews>
    <sheetView topLeftCell="F1" workbookViewId="0">
      <selection activeCell="B6" sqref="B6"/>
    </sheetView>
  </sheetViews>
  <sheetFormatPr baseColWidth="10" defaultColWidth="9" defaultRowHeight="13" x14ac:dyDescent="0.15"/>
  <cols>
    <col min="1" max="1" width="0.19921875" customWidth="1"/>
    <col min="2" max="3" width="11.796875" customWidth="1"/>
    <col min="4" max="4" width="11.3984375" customWidth="1"/>
    <col min="5" max="5" width="4.796875" customWidth="1"/>
    <col min="6" max="6" width="37" customWidth="1"/>
    <col min="7" max="7" width="10" style="7" bestFit="1" customWidth="1"/>
    <col min="8" max="8" width="15.3984375" style="1" customWidth="1"/>
    <col min="9" max="9" width="9.19921875" style="8" customWidth="1"/>
    <col min="11" max="11" width="10" style="7" bestFit="1" customWidth="1"/>
  </cols>
  <sheetData>
    <row r="3" spans="1:12" x14ac:dyDescent="0.15">
      <c r="B3" t="s">
        <v>14</v>
      </c>
    </row>
    <row r="4" spans="1:12" ht="14" thickBot="1" x14ac:dyDescent="0.2"/>
    <row r="5" spans="1:12" ht="14" thickBot="1" x14ac:dyDescent="0.2">
      <c r="B5" s="3" t="s">
        <v>75</v>
      </c>
      <c r="C5" s="4" t="s">
        <v>15</v>
      </c>
      <c r="D5" s="4" t="s">
        <v>16</v>
      </c>
      <c r="E5" s="4"/>
      <c r="F5" s="4" t="s">
        <v>17</v>
      </c>
      <c r="G5" s="9" t="s">
        <v>2</v>
      </c>
      <c r="H5" s="4" t="s">
        <v>18</v>
      </c>
      <c r="I5" s="10" t="s">
        <v>19</v>
      </c>
      <c r="J5" s="5" t="s">
        <v>21</v>
      </c>
    </row>
    <row r="6" spans="1:12" x14ac:dyDescent="0.15">
      <c r="A6" t="str">
        <f>CONCATENATE(C6,"_",B6,D6,"_",F6)</f>
        <v>EJE_1MEC_Purchase Automated Welder</v>
      </c>
      <c r="B6" s="6">
        <v>1</v>
      </c>
      <c r="C6" t="s">
        <v>45</v>
      </c>
      <c r="D6" t="s">
        <v>23</v>
      </c>
      <c r="E6" s="6"/>
      <c r="F6" t="s">
        <v>31</v>
      </c>
      <c r="G6" s="7">
        <v>45000</v>
      </c>
      <c r="H6" s="1" t="s">
        <v>24</v>
      </c>
      <c r="I6" s="8">
        <v>0.22500000000000001</v>
      </c>
      <c r="J6">
        <f>RANK(G6,G$6:G$11,0)</f>
        <v>6</v>
      </c>
      <c r="K6" s="7">
        <f>IF(H6="Y",G6,"")</f>
        <v>45000</v>
      </c>
      <c r="L6">
        <f>RANK(I6,I$6:I$11,0)</f>
        <v>6</v>
      </c>
    </row>
    <row r="7" spans="1:12" x14ac:dyDescent="0.15">
      <c r="A7" t="str">
        <f t="shared" ref="A7:A56" si="0">CONCATENATE(C7,"_",B7,D7,"_",F7)</f>
        <v>EJE_2MEC_Convert 30 Gons to Coil Cars</v>
      </c>
      <c r="B7" s="6">
        <v>2</v>
      </c>
      <c r="C7" t="s">
        <v>45</v>
      </c>
      <c r="D7" t="s">
        <v>23</v>
      </c>
      <c r="E7" s="6"/>
      <c r="F7" t="s">
        <v>64</v>
      </c>
      <c r="G7" s="7">
        <f>30*12000</f>
        <v>360000</v>
      </c>
      <c r="H7" s="1" t="s">
        <v>24</v>
      </c>
      <c r="I7" s="8">
        <v>0.32600000000000001</v>
      </c>
      <c r="J7">
        <f t="shared" ref="J7:L11" si="1">RANK(G7,G$6:G$11,0)</f>
        <v>2</v>
      </c>
      <c r="K7" s="7">
        <f t="shared" ref="K7:K56" si="2">IF(H7="Y",G7,"")</f>
        <v>360000</v>
      </c>
      <c r="L7">
        <f t="shared" si="1"/>
        <v>3</v>
      </c>
    </row>
    <row r="8" spans="1:12" x14ac:dyDescent="0.15">
      <c r="A8" t="str">
        <f t="shared" si="0"/>
        <v>EJE_3MIS_Replace Tie Line Hub</v>
      </c>
      <c r="B8" s="6">
        <v>3</v>
      </c>
      <c r="C8" t="s">
        <v>45</v>
      </c>
      <c r="D8" t="s">
        <v>40</v>
      </c>
      <c r="E8" s="6"/>
      <c r="F8" t="s">
        <v>42</v>
      </c>
      <c r="G8" s="7">
        <v>80000</v>
      </c>
      <c r="H8" s="1" t="s">
        <v>24</v>
      </c>
      <c r="I8" s="8">
        <v>0.33700000000000002</v>
      </c>
      <c r="J8">
        <f t="shared" si="1"/>
        <v>5</v>
      </c>
      <c r="K8" s="7">
        <f t="shared" si="2"/>
        <v>80000</v>
      </c>
      <c r="L8">
        <f t="shared" si="1"/>
        <v>2</v>
      </c>
    </row>
    <row r="9" spans="1:12" x14ac:dyDescent="0.15">
      <c r="A9" t="str">
        <f t="shared" si="0"/>
        <v>EJE_4TRN_Automate Interlocking @ Joliet &amp; Gary</v>
      </c>
      <c r="B9" s="6">
        <v>4</v>
      </c>
      <c r="C9" t="s">
        <v>45</v>
      </c>
      <c r="D9" t="s">
        <v>25</v>
      </c>
      <c r="E9" s="6"/>
      <c r="F9" t="s">
        <v>60</v>
      </c>
      <c r="G9" s="7">
        <v>300000</v>
      </c>
      <c r="H9" s="1" t="s">
        <v>24</v>
      </c>
      <c r="I9" s="8">
        <v>0.35</v>
      </c>
      <c r="J9">
        <f t="shared" si="1"/>
        <v>3</v>
      </c>
      <c r="K9" s="7">
        <f t="shared" si="2"/>
        <v>300000</v>
      </c>
      <c r="L9">
        <f t="shared" si="1"/>
        <v>1</v>
      </c>
    </row>
    <row r="10" spans="1:12" x14ac:dyDescent="0.15">
      <c r="A10" t="str">
        <f>CONCATENATE(C10,"_",B10,D10,"_",F10)</f>
        <v>EJE_5TRN_Build Turnout to Ford S. Chicago</v>
      </c>
      <c r="B10" s="6">
        <v>5</v>
      </c>
      <c r="C10" t="s">
        <v>45</v>
      </c>
      <c r="D10" t="s">
        <v>25</v>
      </c>
      <c r="E10" s="6"/>
      <c r="F10" t="s">
        <v>61</v>
      </c>
      <c r="G10" s="7">
        <v>1200000</v>
      </c>
      <c r="H10" s="1" t="s">
        <v>24</v>
      </c>
      <c r="I10" s="8">
        <v>0.27900000000000003</v>
      </c>
      <c r="J10">
        <f t="shared" si="1"/>
        <v>1</v>
      </c>
      <c r="K10" s="7">
        <f t="shared" si="2"/>
        <v>1200000</v>
      </c>
      <c r="L10">
        <f t="shared" si="1"/>
        <v>5</v>
      </c>
    </row>
    <row r="11" spans="1:12" x14ac:dyDescent="0.15">
      <c r="A11" t="str">
        <f t="shared" si="0"/>
        <v>EJE_6TRN_Build Turnout to Haley Plant</v>
      </c>
      <c r="B11" s="6">
        <v>6</v>
      </c>
      <c r="C11" t="s">
        <v>45</v>
      </c>
      <c r="D11" t="s">
        <v>25</v>
      </c>
      <c r="E11" s="6"/>
      <c r="F11" t="s">
        <v>62</v>
      </c>
      <c r="G11" s="7">
        <v>160000</v>
      </c>
      <c r="H11" s="1" t="s">
        <v>24</v>
      </c>
      <c r="I11" s="8">
        <v>0.28000000000000003</v>
      </c>
      <c r="J11">
        <f t="shared" si="1"/>
        <v>4</v>
      </c>
      <c r="K11" s="7">
        <f t="shared" si="2"/>
        <v>160000</v>
      </c>
      <c r="L11">
        <f t="shared" si="1"/>
        <v>4</v>
      </c>
    </row>
    <row r="12" spans="1:12" x14ac:dyDescent="0.15">
      <c r="A12" t="str">
        <f t="shared" si="0"/>
        <v>EJE_7MEC_Rebuild 120 Coil Cars</v>
      </c>
      <c r="B12" s="6">
        <v>7</v>
      </c>
      <c r="C12" t="s">
        <v>45</v>
      </c>
      <c r="D12" t="s">
        <v>23</v>
      </c>
      <c r="E12" s="6"/>
      <c r="F12" t="s">
        <v>54</v>
      </c>
      <c r="G12" s="7">
        <f>120*12000</f>
        <v>1440000</v>
      </c>
      <c r="K12" s="7" t="str">
        <f t="shared" si="2"/>
        <v/>
      </c>
    </row>
    <row r="13" spans="1:12" x14ac:dyDescent="0.15">
      <c r="A13" t="str">
        <f>CONCATENATE(C13,"_",B13,D13,"_",F13)</f>
        <v>EJE_8MEC_Rebuild 28 Box Cars</v>
      </c>
      <c r="B13" s="6">
        <v>8</v>
      </c>
      <c r="C13" t="s">
        <v>45</v>
      </c>
      <c r="D13" t="s">
        <v>23</v>
      </c>
      <c r="E13" s="6"/>
      <c r="F13" t="s">
        <v>56</v>
      </c>
      <c r="G13" s="7">
        <f>28*4000</f>
        <v>112000</v>
      </c>
      <c r="K13" s="7" t="str">
        <f t="shared" si="2"/>
        <v/>
      </c>
    </row>
    <row r="14" spans="1:12" x14ac:dyDescent="0.15">
      <c r="A14" t="str">
        <f t="shared" si="0"/>
        <v>EJE_9MEC_Purchase 160 Wheelsets</v>
      </c>
      <c r="B14" s="6">
        <v>9</v>
      </c>
      <c r="C14" t="s">
        <v>45</v>
      </c>
      <c r="D14" t="s">
        <v>23</v>
      </c>
      <c r="E14" s="6"/>
      <c r="F14" t="s">
        <v>55</v>
      </c>
      <c r="G14" s="7">
        <f>160*2500</f>
        <v>400000</v>
      </c>
      <c r="K14" s="7" t="str">
        <f t="shared" si="2"/>
        <v/>
      </c>
    </row>
    <row r="15" spans="1:12" x14ac:dyDescent="0.15">
      <c r="A15" t="str">
        <f t="shared" si="0"/>
        <v>EJE_10MEC_Purchase 100 Replacement Wheels</v>
      </c>
      <c r="B15" s="6">
        <v>10</v>
      </c>
      <c r="C15" t="s">
        <v>45</v>
      </c>
      <c r="D15" t="s">
        <v>23</v>
      </c>
      <c r="E15" s="6"/>
      <c r="F15" t="s">
        <v>34</v>
      </c>
      <c r="G15" s="7">
        <f>100*900</f>
        <v>90000</v>
      </c>
      <c r="K15" s="7" t="str">
        <f t="shared" si="2"/>
        <v/>
      </c>
    </row>
    <row r="16" spans="1:12" x14ac:dyDescent="0.15">
      <c r="A16" t="str">
        <f t="shared" si="0"/>
        <v>EJE_11MEC_Major Rebuild 8 Locos</v>
      </c>
      <c r="B16" s="6">
        <v>11</v>
      </c>
      <c r="C16" t="s">
        <v>45</v>
      </c>
      <c r="D16" t="s">
        <v>23</v>
      </c>
      <c r="E16" s="6"/>
      <c r="F16" t="s">
        <v>57</v>
      </c>
      <c r="G16" s="7">
        <f>8*45000</f>
        <v>360000</v>
      </c>
      <c r="K16" s="7" t="str">
        <f t="shared" si="2"/>
        <v/>
      </c>
    </row>
    <row r="17" spans="1:12" x14ac:dyDescent="0.15">
      <c r="A17" t="str">
        <f t="shared" si="0"/>
        <v>EJE_12MEC_Purchase 3 Used Mainline Locos</v>
      </c>
      <c r="B17" s="6">
        <v>12</v>
      </c>
      <c r="C17" t="s">
        <v>45</v>
      </c>
      <c r="D17" t="s">
        <v>23</v>
      </c>
      <c r="E17" s="6"/>
      <c r="F17" t="s">
        <v>58</v>
      </c>
      <c r="G17" s="7">
        <f>3*300000</f>
        <v>900000</v>
      </c>
      <c r="K17" s="7" t="str">
        <f t="shared" si="2"/>
        <v/>
      </c>
    </row>
    <row r="18" spans="1:12" x14ac:dyDescent="0.15">
      <c r="A18" t="str">
        <f t="shared" si="0"/>
        <v>EJE_13MEC_Purchase Stake Truck</v>
      </c>
      <c r="B18" s="6">
        <v>13</v>
      </c>
      <c r="C18" t="s">
        <v>45</v>
      </c>
      <c r="D18" t="s">
        <v>23</v>
      </c>
      <c r="E18" s="6"/>
      <c r="F18" t="s">
        <v>59</v>
      </c>
      <c r="G18" s="7">
        <v>85000</v>
      </c>
      <c r="K18" s="7" t="str">
        <f t="shared" si="2"/>
        <v/>
      </c>
    </row>
    <row r="19" spans="1:12" x14ac:dyDescent="0.15">
      <c r="A19" t="str">
        <f t="shared" si="0"/>
        <v>EJE_14MIS_Replace  Mainframe</v>
      </c>
      <c r="B19" s="6">
        <v>14</v>
      </c>
      <c r="C19" t="s">
        <v>45</v>
      </c>
      <c r="D19" t="s">
        <v>40</v>
      </c>
      <c r="E19" s="6"/>
      <c r="F19" t="s">
        <v>71</v>
      </c>
      <c r="G19" s="7">
        <v>140000</v>
      </c>
      <c r="K19" s="7" t="str">
        <f t="shared" si="2"/>
        <v/>
      </c>
    </row>
    <row r="20" spans="1:12" x14ac:dyDescent="0.15">
      <c r="A20" t="str">
        <f t="shared" si="0"/>
        <v>EJE_15MOW_Mainline Track Replacement</v>
      </c>
      <c r="B20" s="6">
        <v>15</v>
      </c>
      <c r="C20" t="s">
        <v>45</v>
      </c>
      <c r="D20" t="s">
        <v>22</v>
      </c>
      <c r="E20" s="6"/>
      <c r="F20" t="s">
        <v>46</v>
      </c>
      <c r="G20" s="7">
        <v>1450000</v>
      </c>
      <c r="K20" s="7" t="str">
        <f t="shared" si="2"/>
        <v/>
      </c>
    </row>
    <row r="21" spans="1:12" x14ac:dyDescent="0.15">
      <c r="A21" t="str">
        <f>CONCATENATE(C21,"_",B21,D21,"_",F21)</f>
        <v>EJE_16MOW_Redeck Joliet Bridge</v>
      </c>
      <c r="B21" s="6">
        <v>16</v>
      </c>
      <c r="C21" t="s">
        <v>45</v>
      </c>
      <c r="D21" t="s">
        <v>22</v>
      </c>
      <c r="E21" s="6"/>
      <c r="F21" t="s">
        <v>63</v>
      </c>
      <c r="G21" s="7">
        <v>345000</v>
      </c>
      <c r="K21" s="7" t="str">
        <f t="shared" si="2"/>
        <v/>
      </c>
    </row>
    <row r="22" spans="1:12" x14ac:dyDescent="0.15">
      <c r="A22" t="str">
        <f t="shared" si="0"/>
        <v>EJE_17MOW_Replace 16 Turnouts</v>
      </c>
      <c r="B22" s="6">
        <v>17</v>
      </c>
      <c r="C22" t="s">
        <v>45</v>
      </c>
      <c r="D22" t="s">
        <v>22</v>
      </c>
      <c r="E22" s="6"/>
      <c r="F22" t="s">
        <v>47</v>
      </c>
      <c r="G22" s="7">
        <v>640000</v>
      </c>
      <c r="K22" s="7" t="str">
        <f t="shared" si="2"/>
        <v/>
      </c>
    </row>
    <row r="23" spans="1:12" x14ac:dyDescent="0.15">
      <c r="A23" t="str">
        <f t="shared" si="0"/>
        <v>EJE_18MOW_Replace 1000 yard ties</v>
      </c>
      <c r="B23" s="6">
        <v>18</v>
      </c>
      <c r="C23" t="s">
        <v>45</v>
      </c>
      <c r="D23" t="s">
        <v>22</v>
      </c>
      <c r="E23" s="6"/>
      <c r="F23" t="s">
        <v>48</v>
      </c>
      <c r="G23" s="7">
        <f>28000*3</f>
        <v>84000</v>
      </c>
      <c r="K23" s="7" t="str">
        <f t="shared" si="2"/>
        <v/>
      </c>
    </row>
    <row r="24" spans="1:12" x14ac:dyDescent="0.15">
      <c r="A24" t="str">
        <f t="shared" si="0"/>
        <v>EJE_19MOW_Regrade Hump Yard</v>
      </c>
      <c r="B24" s="6">
        <v>19</v>
      </c>
      <c r="C24" t="s">
        <v>45</v>
      </c>
      <c r="D24" t="s">
        <v>22</v>
      </c>
      <c r="E24" s="6"/>
      <c r="F24" t="s">
        <v>49</v>
      </c>
      <c r="G24" s="7">
        <v>180000</v>
      </c>
      <c r="K24" s="7" t="str">
        <f t="shared" si="2"/>
        <v/>
      </c>
    </row>
    <row r="25" spans="1:12" x14ac:dyDescent="0.15">
      <c r="A25" t="str">
        <f t="shared" si="0"/>
        <v>EJE_20MOW_Replace Bridge Inspector Truck</v>
      </c>
      <c r="B25" s="6">
        <v>20</v>
      </c>
      <c r="C25" t="s">
        <v>45</v>
      </c>
      <c r="D25" t="s">
        <v>22</v>
      </c>
      <c r="E25" s="6"/>
      <c r="F25" t="s">
        <v>52</v>
      </c>
      <c r="G25" s="7">
        <v>165000</v>
      </c>
      <c r="K25" s="7" t="str">
        <f t="shared" si="2"/>
        <v/>
      </c>
    </row>
    <row r="26" spans="1:12" x14ac:dyDescent="0.15">
      <c r="A26" t="str">
        <f t="shared" si="0"/>
        <v>EJE_21MOW_Pruchse Tie Crane</v>
      </c>
      <c r="B26" s="6">
        <v>21</v>
      </c>
      <c r="C26" t="s">
        <v>45</v>
      </c>
      <c r="D26" t="s">
        <v>22</v>
      </c>
      <c r="E26" s="6"/>
      <c r="F26" t="s">
        <v>50</v>
      </c>
      <c r="G26" s="7">
        <v>95000</v>
      </c>
      <c r="K26" s="7" t="str">
        <f t="shared" si="2"/>
        <v/>
      </c>
    </row>
    <row r="27" spans="1:12" x14ac:dyDescent="0.15">
      <c r="A27" t="str">
        <f t="shared" si="0"/>
        <v>EJE_22MOW_Replace Tamper</v>
      </c>
      <c r="B27" s="6">
        <v>22</v>
      </c>
      <c r="C27" t="s">
        <v>45</v>
      </c>
      <c r="D27" t="s">
        <v>22</v>
      </c>
      <c r="E27" s="6"/>
      <c r="F27" t="s">
        <v>51</v>
      </c>
      <c r="G27" s="7">
        <v>180000</v>
      </c>
      <c r="K27" s="7" t="str">
        <f t="shared" si="2"/>
        <v/>
      </c>
    </row>
    <row r="28" spans="1:12" x14ac:dyDescent="0.15">
      <c r="A28" t="str">
        <f t="shared" si="0"/>
        <v>EJE_23MOW_Replace 4 Work Crew Hi-rail trucks</v>
      </c>
      <c r="B28" s="6">
        <v>23</v>
      </c>
      <c r="C28" t="s">
        <v>45</v>
      </c>
      <c r="D28" t="s">
        <v>22</v>
      </c>
      <c r="E28" s="6"/>
      <c r="F28" t="s">
        <v>53</v>
      </c>
      <c r="G28" s="7">
        <v>240000</v>
      </c>
      <c r="K28" s="7" t="str">
        <f t="shared" si="2"/>
        <v/>
      </c>
    </row>
    <row r="29" spans="1:12" x14ac:dyDescent="0.15">
      <c r="A29" t="str">
        <f t="shared" si="0"/>
        <v>EJE_24TRN_Replace 6 Crew Vechhicles</v>
      </c>
      <c r="B29" s="6">
        <v>24</v>
      </c>
      <c r="C29" t="s">
        <v>45</v>
      </c>
      <c r="D29" t="s">
        <v>25</v>
      </c>
      <c r="E29" s="6"/>
      <c r="F29" t="s">
        <v>37</v>
      </c>
      <c r="G29" s="7">
        <v>180000</v>
      </c>
      <c r="K29" s="7" t="str">
        <f t="shared" si="2"/>
        <v/>
      </c>
    </row>
    <row r="30" spans="1:12" x14ac:dyDescent="0.15">
      <c r="A30" t="str">
        <f>CONCATENATE(C30,"_",B30,D30,"_",F30)</f>
        <v>URR_25MEC_Purchase Automated Welder</v>
      </c>
      <c r="B30" s="6">
        <v>25</v>
      </c>
      <c r="C30" t="s">
        <v>20</v>
      </c>
      <c r="D30" t="s">
        <v>23</v>
      </c>
      <c r="E30" s="6"/>
      <c r="F30" t="s">
        <v>31</v>
      </c>
      <c r="G30" s="7">
        <v>45000</v>
      </c>
      <c r="H30" s="1" t="s">
        <v>24</v>
      </c>
      <c r="I30" s="8">
        <v>0.22500000000000001</v>
      </c>
      <c r="J30">
        <f>RANK(G30,G$30:G$33,0)</f>
        <v>2</v>
      </c>
      <c r="K30" s="7">
        <f t="shared" si="2"/>
        <v>45000</v>
      </c>
      <c r="L30">
        <f>RANK(I30,I$30:I$33,0)</f>
        <v>2</v>
      </c>
    </row>
    <row r="31" spans="1:12" x14ac:dyDescent="0.15">
      <c r="A31" t="str">
        <f>CONCATENATE(C31,"_",B31,D31,"_",F31)</f>
        <v>URR_26MIS_Expand WAN</v>
      </c>
      <c r="B31" s="6">
        <v>26</v>
      </c>
      <c r="C31" t="s">
        <v>20</v>
      </c>
      <c r="D31" t="s">
        <v>40</v>
      </c>
      <c r="E31" s="6"/>
      <c r="F31" t="s">
        <v>41</v>
      </c>
      <c r="G31" s="7">
        <v>35000</v>
      </c>
      <c r="H31" s="1" t="s">
        <v>24</v>
      </c>
      <c r="I31" s="8">
        <v>0.16500000000000001</v>
      </c>
      <c r="J31">
        <f t="shared" ref="J31:L33" si="3">RANK(G31,G$30:G$33,0)</f>
        <v>4</v>
      </c>
      <c r="K31" s="7">
        <f t="shared" si="2"/>
        <v>35000</v>
      </c>
      <c r="L31">
        <f t="shared" si="3"/>
        <v>4</v>
      </c>
    </row>
    <row r="32" spans="1:12" x14ac:dyDescent="0.15">
      <c r="A32" t="str">
        <f t="shared" si="0"/>
        <v>URR_27MIS_Replace Tie Line Hub</v>
      </c>
      <c r="B32" s="6">
        <v>27</v>
      </c>
      <c r="C32" t="s">
        <v>20</v>
      </c>
      <c r="D32" t="s">
        <v>40</v>
      </c>
      <c r="E32" s="6"/>
      <c r="F32" t="s">
        <v>42</v>
      </c>
      <c r="G32" s="7">
        <v>40000</v>
      </c>
      <c r="H32" s="1" t="s">
        <v>24</v>
      </c>
      <c r="I32" s="8">
        <v>0.33700000000000002</v>
      </c>
      <c r="J32">
        <f t="shared" si="3"/>
        <v>3</v>
      </c>
      <c r="K32" s="7">
        <f t="shared" si="2"/>
        <v>40000</v>
      </c>
      <c r="L32">
        <f t="shared" si="3"/>
        <v>1</v>
      </c>
    </row>
    <row r="33" spans="1:12" x14ac:dyDescent="0.15">
      <c r="A33" t="str">
        <f t="shared" si="0"/>
        <v>URR_28TRN_Build Turnout to Snavley Lumber</v>
      </c>
      <c r="B33" s="6">
        <v>28</v>
      </c>
      <c r="C33" t="s">
        <v>20</v>
      </c>
      <c r="D33" t="s">
        <v>25</v>
      </c>
      <c r="E33" s="6"/>
      <c r="F33" t="s">
        <v>44</v>
      </c>
      <c r="G33" s="7">
        <v>145000</v>
      </c>
      <c r="H33" s="1" t="s">
        <v>24</v>
      </c>
      <c r="I33" s="8">
        <v>0.217</v>
      </c>
      <c r="J33">
        <f t="shared" si="3"/>
        <v>1</v>
      </c>
      <c r="K33" s="7">
        <f t="shared" si="2"/>
        <v>145000</v>
      </c>
      <c r="L33">
        <f t="shared" si="3"/>
        <v>3</v>
      </c>
    </row>
    <row r="34" spans="1:12" x14ac:dyDescent="0.15">
      <c r="A34" t="str">
        <f t="shared" si="0"/>
        <v>URR_29MEC_Replace Shop Overhead Crane</v>
      </c>
      <c r="B34" s="6">
        <v>29</v>
      </c>
      <c r="C34" t="s">
        <v>20</v>
      </c>
      <c r="D34" t="s">
        <v>23</v>
      </c>
      <c r="E34" s="6"/>
      <c r="F34" t="s">
        <v>72</v>
      </c>
      <c r="G34" s="7">
        <v>60000</v>
      </c>
      <c r="K34" s="7" t="str">
        <f t="shared" si="2"/>
        <v/>
      </c>
    </row>
    <row r="35" spans="1:12" x14ac:dyDescent="0.15">
      <c r="A35" t="str">
        <f t="shared" si="0"/>
        <v>URR_30MEC_Rebuild 80 Hopper Car Sides</v>
      </c>
      <c r="B35" s="6">
        <v>30</v>
      </c>
      <c r="C35" t="s">
        <v>20</v>
      </c>
      <c r="D35" t="s">
        <v>23</v>
      </c>
      <c r="E35" s="6"/>
      <c r="F35" t="s">
        <v>30</v>
      </c>
      <c r="G35" s="7">
        <f>80*2250</f>
        <v>180000</v>
      </c>
      <c r="K35" s="7" t="str">
        <f t="shared" si="2"/>
        <v/>
      </c>
    </row>
    <row r="36" spans="1:12" x14ac:dyDescent="0.15">
      <c r="A36" t="str">
        <f t="shared" si="0"/>
        <v>URR_31MEC_Rebuild 16 Cabooses</v>
      </c>
      <c r="B36" s="6">
        <v>31</v>
      </c>
      <c r="C36" t="s">
        <v>20</v>
      </c>
      <c r="D36" t="s">
        <v>23</v>
      </c>
      <c r="E36" s="6"/>
      <c r="F36" t="s">
        <v>32</v>
      </c>
      <c r="G36" s="7">
        <f>16*8000</f>
        <v>128000</v>
      </c>
      <c r="K36" s="7" t="str">
        <f t="shared" si="2"/>
        <v/>
      </c>
    </row>
    <row r="37" spans="1:12" x14ac:dyDescent="0.15">
      <c r="A37" t="str">
        <f t="shared" si="0"/>
        <v>URR_32MEC_Purchase 80 Wheelsets</v>
      </c>
      <c r="B37" s="6">
        <v>32</v>
      </c>
      <c r="C37" t="s">
        <v>20</v>
      </c>
      <c r="D37" t="s">
        <v>23</v>
      </c>
      <c r="E37" s="6"/>
      <c r="F37" t="s">
        <v>33</v>
      </c>
      <c r="G37" s="7">
        <f>80*2500</f>
        <v>200000</v>
      </c>
      <c r="K37" s="7" t="str">
        <f t="shared" si="2"/>
        <v/>
      </c>
    </row>
    <row r="38" spans="1:12" x14ac:dyDescent="0.15">
      <c r="A38" t="str">
        <f t="shared" si="0"/>
        <v>URR_33MEC_Purchase 100 Replacement Wheels</v>
      </c>
      <c r="B38" s="6">
        <v>33</v>
      </c>
      <c r="C38" t="s">
        <v>20</v>
      </c>
      <c r="D38" t="s">
        <v>23</v>
      </c>
      <c r="E38" s="6"/>
      <c r="F38" t="s">
        <v>34</v>
      </c>
      <c r="G38" s="7">
        <f>100*900</f>
        <v>90000</v>
      </c>
      <c r="K38" s="7" t="str">
        <f t="shared" si="2"/>
        <v/>
      </c>
    </row>
    <row r="39" spans="1:12" x14ac:dyDescent="0.15">
      <c r="A39" t="str">
        <f t="shared" si="0"/>
        <v>URR_34MEC_Major Rebuild 4 Locos</v>
      </c>
      <c r="B39" s="6">
        <v>34</v>
      </c>
      <c r="C39" t="s">
        <v>20</v>
      </c>
      <c r="D39" t="s">
        <v>23</v>
      </c>
      <c r="E39" s="6"/>
      <c r="F39" t="s">
        <v>43</v>
      </c>
      <c r="G39" s="7">
        <f>4*45000</f>
        <v>180000</v>
      </c>
      <c r="K39" s="7" t="str">
        <f t="shared" si="2"/>
        <v/>
      </c>
    </row>
    <row r="40" spans="1:12" x14ac:dyDescent="0.15">
      <c r="A40" t="str">
        <f>CONCATENATE(C40,"_",B40,D40,"_",F40)</f>
        <v>URR_35MEC_Purchase 2 Used Switcher Locos</v>
      </c>
      <c r="B40" s="6">
        <v>35</v>
      </c>
      <c r="C40" t="s">
        <v>20</v>
      </c>
      <c r="D40" t="s">
        <v>23</v>
      </c>
      <c r="E40" s="6"/>
      <c r="F40" t="s">
        <v>35</v>
      </c>
      <c r="G40" s="7">
        <v>300000</v>
      </c>
      <c r="K40" s="7" t="str">
        <f t="shared" si="2"/>
        <v/>
      </c>
    </row>
    <row r="41" spans="1:12" x14ac:dyDescent="0.15">
      <c r="A41" t="str">
        <f t="shared" si="0"/>
        <v>URR_36MOW_Mainline Track Replacement</v>
      </c>
      <c r="B41" s="6">
        <v>36</v>
      </c>
      <c r="C41" t="s">
        <v>20</v>
      </c>
      <c r="D41" t="s">
        <v>22</v>
      </c>
      <c r="E41" s="6"/>
      <c r="F41" t="s">
        <v>46</v>
      </c>
      <c r="G41" s="7">
        <v>670000</v>
      </c>
      <c r="K41" s="7" t="str">
        <f t="shared" si="2"/>
        <v/>
      </c>
    </row>
    <row r="42" spans="1:12" x14ac:dyDescent="0.15">
      <c r="A42" t="str">
        <f t="shared" si="0"/>
        <v>URR_37MOW_Replace 8 Turnouts</v>
      </c>
      <c r="B42" s="6">
        <v>37</v>
      </c>
      <c r="C42" t="s">
        <v>20</v>
      </c>
      <c r="D42" t="s">
        <v>22</v>
      </c>
      <c r="E42" s="6"/>
      <c r="F42" t="s">
        <v>26</v>
      </c>
      <c r="G42" s="7">
        <v>320000</v>
      </c>
      <c r="K42" s="7" t="str">
        <f t="shared" si="2"/>
        <v/>
      </c>
    </row>
    <row r="43" spans="1:12" x14ac:dyDescent="0.15">
      <c r="A43" t="str">
        <f t="shared" si="0"/>
        <v>URR_38MOW_Replace 300 yard ties</v>
      </c>
      <c r="B43" s="6">
        <v>38</v>
      </c>
      <c r="C43" t="s">
        <v>20</v>
      </c>
      <c r="D43" t="s">
        <v>22</v>
      </c>
      <c r="E43" s="6"/>
      <c r="F43" t="s">
        <v>27</v>
      </c>
      <c r="G43" s="7">
        <v>28000</v>
      </c>
      <c r="K43" s="7" t="str">
        <f t="shared" si="2"/>
        <v/>
      </c>
    </row>
    <row r="44" spans="1:12" x14ac:dyDescent="0.15">
      <c r="A44" t="str">
        <f>CONCATENATE(C44,"_",B44,D44,"_",F44)</f>
        <v>URR_39MOW_Rebuild 6 Culverts</v>
      </c>
      <c r="B44" s="6">
        <v>39</v>
      </c>
      <c r="C44" t="s">
        <v>20</v>
      </c>
      <c r="D44" t="s">
        <v>22</v>
      </c>
      <c r="E44" s="6"/>
      <c r="F44" t="s">
        <v>28</v>
      </c>
      <c r="G44" s="7">
        <v>42000</v>
      </c>
      <c r="K44" s="7" t="str">
        <f t="shared" si="2"/>
        <v/>
      </c>
    </row>
    <row r="45" spans="1:12" x14ac:dyDescent="0.15">
      <c r="A45" t="str">
        <f t="shared" si="0"/>
        <v>URR_40MOW_Purchase Tie Machine</v>
      </c>
      <c r="B45" s="6">
        <v>40</v>
      </c>
      <c r="C45" t="s">
        <v>20</v>
      </c>
      <c r="D45" t="s">
        <v>22</v>
      </c>
      <c r="E45" s="6"/>
      <c r="F45" t="s">
        <v>29</v>
      </c>
      <c r="G45" s="7">
        <v>145000</v>
      </c>
      <c r="K45" s="7" t="str">
        <f t="shared" si="2"/>
        <v/>
      </c>
    </row>
    <row r="46" spans="1:12" x14ac:dyDescent="0.15">
      <c r="A46" t="str">
        <f t="shared" si="0"/>
        <v>URR_41MOW_Replace 2 Heavy Work Trucks</v>
      </c>
      <c r="B46" s="6">
        <v>41</v>
      </c>
      <c r="C46" t="s">
        <v>20</v>
      </c>
      <c r="D46" t="s">
        <v>22</v>
      </c>
      <c r="E46" s="6"/>
      <c r="F46" t="s">
        <v>38</v>
      </c>
      <c r="G46" s="7">
        <v>170000</v>
      </c>
      <c r="K46" s="7" t="str">
        <f t="shared" si="2"/>
        <v/>
      </c>
    </row>
    <row r="47" spans="1:12" x14ac:dyDescent="0.15">
      <c r="A47" t="str">
        <f t="shared" si="0"/>
        <v>URR_42MOW_Purchase 1 Front-end Loader</v>
      </c>
      <c r="B47" s="6">
        <v>42</v>
      </c>
      <c r="C47" t="s">
        <v>20</v>
      </c>
      <c r="D47" t="s">
        <v>22</v>
      </c>
      <c r="E47" s="6"/>
      <c r="F47" t="s">
        <v>39</v>
      </c>
      <c r="G47" s="7">
        <v>140000</v>
      </c>
      <c r="K47" s="7" t="str">
        <f t="shared" si="2"/>
        <v/>
      </c>
    </row>
    <row r="48" spans="1:12" x14ac:dyDescent="0.15">
      <c r="A48" t="str">
        <f t="shared" si="0"/>
        <v>URR_43TRN_Replace Control Room Display System</v>
      </c>
      <c r="B48" s="6">
        <v>43</v>
      </c>
      <c r="C48" t="s">
        <v>20</v>
      </c>
      <c r="D48" t="s">
        <v>25</v>
      </c>
      <c r="E48" s="6"/>
      <c r="F48" t="s">
        <v>36</v>
      </c>
      <c r="G48" s="7">
        <v>9800</v>
      </c>
      <c r="K48" s="7" t="str">
        <f t="shared" si="2"/>
        <v/>
      </c>
    </row>
    <row r="49" spans="1:12" x14ac:dyDescent="0.15">
      <c r="A49" t="str">
        <f t="shared" si="0"/>
        <v>URR_44TRN_Replace Control Tower at "J"</v>
      </c>
      <c r="B49" s="6">
        <v>44</v>
      </c>
      <c r="C49" t="s">
        <v>20</v>
      </c>
      <c r="D49" t="s">
        <v>25</v>
      </c>
      <c r="E49" s="6"/>
      <c r="F49" t="s">
        <v>73</v>
      </c>
      <c r="G49" s="7">
        <v>220000</v>
      </c>
      <c r="K49" s="7" t="str">
        <f t="shared" si="2"/>
        <v/>
      </c>
    </row>
    <row r="50" spans="1:12" x14ac:dyDescent="0.15">
      <c r="A50" t="str">
        <f t="shared" si="0"/>
        <v>URR_45TRN_Replace 6 Crew Vechhicles</v>
      </c>
      <c r="B50" s="6">
        <v>45</v>
      </c>
      <c r="C50" t="s">
        <v>20</v>
      </c>
      <c r="D50" t="s">
        <v>25</v>
      </c>
      <c r="E50" s="6"/>
      <c r="F50" t="s">
        <v>37</v>
      </c>
      <c r="G50" s="7">
        <v>180000</v>
      </c>
      <c r="K50" s="7" t="str">
        <f t="shared" si="2"/>
        <v/>
      </c>
    </row>
    <row r="51" spans="1:12" x14ac:dyDescent="0.15">
      <c r="A51" t="str">
        <f>CONCATENATE(C51,"_",B51,D51,"_",F51)</f>
        <v>WGN_46TRN_Convert 8 barges for Woodchips</v>
      </c>
      <c r="B51" s="6">
        <v>46</v>
      </c>
      <c r="C51" t="s">
        <v>65</v>
      </c>
      <c r="D51" t="s">
        <v>25</v>
      </c>
      <c r="E51" s="6"/>
      <c r="F51" t="s">
        <v>68</v>
      </c>
      <c r="G51" s="7">
        <f>8*35000</f>
        <v>280000</v>
      </c>
      <c r="H51" s="1" t="s">
        <v>24</v>
      </c>
      <c r="I51" s="8">
        <v>0.186</v>
      </c>
      <c r="J51">
        <v>1</v>
      </c>
      <c r="K51" s="7">
        <f t="shared" si="2"/>
        <v>280000</v>
      </c>
      <c r="L51">
        <f>I51/(MAX(I$6:I$56))</f>
        <v>0.53142857142857147</v>
      </c>
    </row>
    <row r="52" spans="1:12" x14ac:dyDescent="0.15">
      <c r="A52" t="str">
        <f t="shared" si="0"/>
        <v>WGN_47TRN_Purchase 8 Dedicated Woodchip Barges</v>
      </c>
      <c r="B52" s="6">
        <v>47</v>
      </c>
      <c r="C52" t="s">
        <v>65</v>
      </c>
      <c r="D52" t="s">
        <v>25</v>
      </c>
      <c r="E52" s="6"/>
      <c r="F52" t="s">
        <v>69</v>
      </c>
      <c r="G52" s="7">
        <f>8*425000</f>
        <v>3400000</v>
      </c>
      <c r="H52" s="1" t="s">
        <v>24</v>
      </c>
      <c r="I52" s="8">
        <v>0.26200000000000001</v>
      </c>
      <c r="J52">
        <v>2</v>
      </c>
      <c r="K52" s="7">
        <f t="shared" si="2"/>
        <v>3400000</v>
      </c>
      <c r="L52">
        <f>I52/(MAX(I$6:I$56))</f>
        <v>0.74857142857142867</v>
      </c>
    </row>
    <row r="53" spans="1:12" x14ac:dyDescent="0.15">
      <c r="A53" t="str">
        <f t="shared" si="0"/>
        <v>WGN_48TRN_Replace 6 Barges</v>
      </c>
      <c r="B53" s="6">
        <v>48</v>
      </c>
      <c r="C53" t="s">
        <v>65</v>
      </c>
      <c r="D53" t="s">
        <v>25</v>
      </c>
      <c r="E53" s="6"/>
      <c r="F53" t="s">
        <v>66</v>
      </c>
      <c r="G53" s="7">
        <f>6*400000</f>
        <v>2400000</v>
      </c>
      <c r="K53" s="7" t="str">
        <f t="shared" si="2"/>
        <v/>
      </c>
    </row>
    <row r="54" spans="1:12" x14ac:dyDescent="0.15">
      <c r="A54" t="str">
        <f>CONCATENATE(C54,"_",B54,D54,"_",F54)</f>
        <v>WGN_49TRN_Replace 2 Tug Engines</v>
      </c>
      <c r="B54" s="6">
        <v>49</v>
      </c>
      <c r="C54" t="s">
        <v>65</v>
      </c>
      <c r="D54" t="s">
        <v>25</v>
      </c>
      <c r="E54" s="6"/>
      <c r="F54" t="s">
        <v>67</v>
      </c>
      <c r="G54" s="7">
        <v>170000</v>
      </c>
      <c r="K54" s="7" t="str">
        <f t="shared" si="2"/>
        <v/>
      </c>
    </row>
    <row r="55" spans="1:12" x14ac:dyDescent="0.15">
      <c r="A55" t="str">
        <f>CONCATENATE(C55,"_",B55,D55,"_",F55)</f>
        <v>WGN_50TRN_Upgrade Radar Systems on Tugs</v>
      </c>
      <c r="B55" s="6">
        <v>50</v>
      </c>
      <c r="C55" t="s">
        <v>65</v>
      </c>
      <c r="D55" t="s">
        <v>25</v>
      </c>
      <c r="E55" s="6"/>
      <c r="F55" t="s">
        <v>70</v>
      </c>
      <c r="G55" s="7">
        <f>12000*18</f>
        <v>216000</v>
      </c>
      <c r="K55" s="7" t="str">
        <f t="shared" si="2"/>
        <v/>
      </c>
    </row>
    <row r="56" spans="1:12" x14ac:dyDescent="0.15">
      <c r="A56" t="str">
        <f t="shared" si="0"/>
        <v>WGN_51TRN_Rebuild Drydock #2</v>
      </c>
      <c r="B56" s="6">
        <v>51</v>
      </c>
      <c r="C56" t="s">
        <v>65</v>
      </c>
      <c r="D56" t="s">
        <v>25</v>
      </c>
      <c r="E56" s="6"/>
      <c r="F56" t="s">
        <v>74</v>
      </c>
      <c r="G56" s="7">
        <v>350000</v>
      </c>
      <c r="K56" s="7" t="str">
        <f t="shared" si="2"/>
        <v/>
      </c>
    </row>
    <row r="57" spans="1:12" x14ac:dyDescent="0.15">
      <c r="E57" s="6"/>
    </row>
    <row r="58" spans="1:12" x14ac:dyDescent="0.15">
      <c r="E58" s="6"/>
    </row>
    <row r="59" spans="1:12" x14ac:dyDescent="0.15">
      <c r="E59" s="6"/>
    </row>
    <row r="60" spans="1:12" x14ac:dyDescent="0.15">
      <c r="E60" s="6"/>
    </row>
    <row r="61" spans="1:12" x14ac:dyDescent="0.15">
      <c r="E61" s="6"/>
    </row>
    <row r="62" spans="1:12" x14ac:dyDescent="0.15">
      <c r="E62" s="6"/>
    </row>
    <row r="63" spans="1:12" x14ac:dyDescent="0.15">
      <c r="E63" s="6"/>
    </row>
  </sheetData>
  <phoneticPr fontId="0" type="noConversion"/>
  <printOptions horizontalCentered="1" verticalCentered="1"/>
  <pageMargins left="0.5" right="0.5" top="0.5" bottom="0.5" header="0.25" footer="0.25"/>
  <pageSetup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K69"/>
  <sheetViews>
    <sheetView showGridLines="0" topLeftCell="C1" workbookViewId="0">
      <selection activeCell="C28" sqref="C28"/>
    </sheetView>
  </sheetViews>
  <sheetFormatPr baseColWidth="10" defaultColWidth="9" defaultRowHeight="13" outlineLevelRow="2" x14ac:dyDescent="0.15"/>
  <cols>
    <col min="1" max="1" width="25.3984375" hidden="1" customWidth="1"/>
    <col min="2" max="2" width="11.796875" hidden="1" customWidth="1"/>
    <col min="3" max="3" width="23.796875" customWidth="1"/>
    <col min="4" max="4" width="27.19921875" customWidth="1"/>
    <col min="5" max="5" width="5.19921875" customWidth="1"/>
    <col min="6" max="6" width="29.796875" style="7" customWidth="1"/>
    <col min="7" max="7" width="15.3984375" style="1" customWidth="1"/>
    <col min="8" max="8" width="9.19921875" style="8" customWidth="1"/>
    <col min="10" max="10" width="10" style="7" bestFit="1" customWidth="1"/>
  </cols>
  <sheetData>
    <row r="3" spans="1:11" x14ac:dyDescent="0.15">
      <c r="C3" t="s">
        <v>14</v>
      </c>
    </row>
    <row r="4" spans="1:11" ht="14" thickBot="1" x14ac:dyDescent="0.2"/>
    <row r="5" spans="1:11" ht="24" thickBot="1" x14ac:dyDescent="0.3">
      <c r="B5" s="3" t="s">
        <v>75</v>
      </c>
      <c r="C5" s="11" t="s">
        <v>15</v>
      </c>
      <c r="D5" s="11" t="s">
        <v>16</v>
      </c>
      <c r="E5" s="11"/>
      <c r="F5" s="12" t="s">
        <v>2</v>
      </c>
      <c r="G5" s="4" t="s">
        <v>18</v>
      </c>
      <c r="H5" s="10" t="s">
        <v>19</v>
      </c>
      <c r="I5" s="5" t="s">
        <v>21</v>
      </c>
    </row>
    <row r="6" spans="1:11" ht="23" hidden="1" outlineLevel="2" x14ac:dyDescent="0.25">
      <c r="A6" t="str">
        <f t="shared" ref="A6:A14" si="0">CONCATENATE(C6,"_",B6,D6,"_",E6)</f>
        <v>EJE_1MEC_Purchase Automated Welder</v>
      </c>
      <c r="B6" s="6">
        <v>1</v>
      </c>
      <c r="C6" s="13" t="s">
        <v>45</v>
      </c>
      <c r="D6" s="13" t="s">
        <v>23</v>
      </c>
      <c r="E6" s="13" t="s">
        <v>31</v>
      </c>
      <c r="F6" s="14">
        <v>45000</v>
      </c>
      <c r="G6" s="1" t="s">
        <v>24</v>
      </c>
      <c r="H6" s="8">
        <v>0.22500000000000001</v>
      </c>
      <c r="I6">
        <f>RANK(F6,F$6:F$11,0)</f>
        <v>6</v>
      </c>
      <c r="J6" s="7">
        <f t="shared" ref="J6:J43" si="1">IF(G6="Y",F6,"")</f>
        <v>45000</v>
      </c>
      <c r="K6">
        <f t="shared" ref="K6:K11" si="2">RANK(H6,H$6:H$11,0)</f>
        <v>2</v>
      </c>
    </row>
    <row r="7" spans="1:11" ht="23" hidden="1" outlineLevel="2" x14ac:dyDescent="0.25">
      <c r="A7" t="str">
        <f t="shared" si="0"/>
        <v>EJE_13MEC_Purchase Stake Truck</v>
      </c>
      <c r="B7" s="6">
        <v>13</v>
      </c>
      <c r="C7" s="13" t="s">
        <v>45</v>
      </c>
      <c r="D7" s="13" t="s">
        <v>23</v>
      </c>
      <c r="E7" s="13" t="s">
        <v>59</v>
      </c>
      <c r="F7" s="14">
        <v>85000</v>
      </c>
      <c r="J7" s="7" t="str">
        <f t="shared" si="1"/>
        <v/>
      </c>
      <c r="K7" t="e">
        <f t="shared" si="2"/>
        <v>#N/A</v>
      </c>
    </row>
    <row r="8" spans="1:11" ht="23" hidden="1" outlineLevel="2" x14ac:dyDescent="0.25">
      <c r="A8" t="str">
        <f t="shared" si="0"/>
        <v>EJE_10MEC_Purchase 100 Replacement Wheels</v>
      </c>
      <c r="B8" s="6">
        <v>10</v>
      </c>
      <c r="C8" s="13" t="s">
        <v>45</v>
      </c>
      <c r="D8" s="13" t="s">
        <v>23</v>
      </c>
      <c r="E8" s="13" t="s">
        <v>34</v>
      </c>
      <c r="F8" s="14">
        <f>100*900</f>
        <v>90000</v>
      </c>
      <c r="J8" s="7" t="str">
        <f t="shared" si="1"/>
        <v/>
      </c>
      <c r="K8" t="e">
        <f t="shared" si="2"/>
        <v>#N/A</v>
      </c>
    </row>
    <row r="9" spans="1:11" ht="23" hidden="1" outlineLevel="2" x14ac:dyDescent="0.25">
      <c r="A9" t="str">
        <f t="shared" si="0"/>
        <v>EJE_8MEC_Rebuild 28 Box Cars</v>
      </c>
      <c r="B9" s="6">
        <v>8</v>
      </c>
      <c r="C9" s="13" t="s">
        <v>45</v>
      </c>
      <c r="D9" s="13" t="s">
        <v>23</v>
      </c>
      <c r="E9" s="13" t="s">
        <v>56</v>
      </c>
      <c r="F9" s="14">
        <f>28*4000</f>
        <v>112000</v>
      </c>
      <c r="J9" s="7" t="str">
        <f t="shared" si="1"/>
        <v/>
      </c>
      <c r="K9" t="e">
        <f t="shared" si="2"/>
        <v>#N/A</v>
      </c>
    </row>
    <row r="10" spans="1:11" ht="23" hidden="1" outlineLevel="2" x14ac:dyDescent="0.25">
      <c r="A10" t="str">
        <f t="shared" si="0"/>
        <v>EJE_2MEC_Convert 30 Gons to Coil Cars</v>
      </c>
      <c r="B10" s="6">
        <v>2</v>
      </c>
      <c r="C10" s="13" t="s">
        <v>45</v>
      </c>
      <c r="D10" s="13" t="s">
        <v>23</v>
      </c>
      <c r="E10" s="13" t="s">
        <v>64</v>
      </c>
      <c r="F10" s="14">
        <f>30*12000</f>
        <v>360000</v>
      </c>
      <c r="G10" s="1" t="s">
        <v>24</v>
      </c>
      <c r="H10" s="8">
        <v>0.32600000000000001</v>
      </c>
      <c r="I10">
        <f>RANK(F10,F$6:F$11,0)</f>
        <v>1</v>
      </c>
      <c r="J10" s="7">
        <f t="shared" si="1"/>
        <v>360000</v>
      </c>
      <c r="K10">
        <f t="shared" si="2"/>
        <v>1</v>
      </c>
    </row>
    <row r="11" spans="1:11" ht="23" hidden="1" outlineLevel="2" x14ac:dyDescent="0.25">
      <c r="A11" t="str">
        <f t="shared" si="0"/>
        <v>EJE_11MEC_Major Rebuild 8 Locos</v>
      </c>
      <c r="B11" s="6">
        <v>11</v>
      </c>
      <c r="C11" s="13" t="s">
        <v>45</v>
      </c>
      <c r="D11" s="13" t="s">
        <v>23</v>
      </c>
      <c r="E11" s="13" t="s">
        <v>57</v>
      </c>
      <c r="F11" s="14">
        <f>8*45000</f>
        <v>360000</v>
      </c>
      <c r="J11" s="7" t="str">
        <f t="shared" si="1"/>
        <v/>
      </c>
      <c r="K11" t="e">
        <f t="shared" si="2"/>
        <v>#N/A</v>
      </c>
    </row>
    <row r="12" spans="1:11" ht="23" hidden="1" outlineLevel="2" x14ac:dyDescent="0.25">
      <c r="A12" t="str">
        <f t="shared" si="0"/>
        <v>EJE_9MEC_Purchase 160 Wheelsets</v>
      </c>
      <c r="B12" s="6">
        <v>9</v>
      </c>
      <c r="C12" s="13" t="s">
        <v>45</v>
      </c>
      <c r="D12" s="13" t="s">
        <v>23</v>
      </c>
      <c r="E12" s="13" t="s">
        <v>55</v>
      </c>
      <c r="F12" s="14">
        <f>160*2500</f>
        <v>400000</v>
      </c>
      <c r="J12" s="7" t="str">
        <f t="shared" si="1"/>
        <v/>
      </c>
    </row>
    <row r="13" spans="1:11" ht="23" hidden="1" outlineLevel="2" x14ac:dyDescent="0.25">
      <c r="A13" t="str">
        <f t="shared" si="0"/>
        <v>EJE_12MEC_Purchase 3 Used Mainline Locos</v>
      </c>
      <c r="B13" s="6">
        <v>12</v>
      </c>
      <c r="C13" s="13" t="s">
        <v>45</v>
      </c>
      <c r="D13" s="13" t="s">
        <v>23</v>
      </c>
      <c r="E13" s="13" t="s">
        <v>58</v>
      </c>
      <c r="F13" s="14">
        <f>3*300000</f>
        <v>900000</v>
      </c>
      <c r="J13" s="7" t="str">
        <f t="shared" si="1"/>
        <v/>
      </c>
    </row>
    <row r="14" spans="1:11" ht="23" hidden="1" outlineLevel="2" x14ac:dyDescent="0.25">
      <c r="A14" t="str">
        <f t="shared" si="0"/>
        <v>EJE_7MEC_Rebuild 120 Coil Cars</v>
      </c>
      <c r="B14" s="6">
        <v>7</v>
      </c>
      <c r="C14" s="13" t="s">
        <v>45</v>
      </c>
      <c r="D14" s="13" t="s">
        <v>23</v>
      </c>
      <c r="E14" s="13" t="s">
        <v>54</v>
      </c>
      <c r="F14" s="14">
        <f>120*12000</f>
        <v>1440000</v>
      </c>
      <c r="J14" s="7" t="str">
        <f t="shared" si="1"/>
        <v/>
      </c>
    </row>
    <row r="15" spans="1:11" ht="23" outlineLevel="1" collapsed="1" x14ac:dyDescent="0.25">
      <c r="B15" s="6"/>
      <c r="C15" s="13"/>
      <c r="D15" s="2" t="s">
        <v>80</v>
      </c>
      <c r="E15" s="13"/>
      <c r="F15" s="14">
        <f>SUBTOTAL(9,F6:F14)</f>
        <v>3792000</v>
      </c>
    </row>
    <row r="16" spans="1:11" ht="23" hidden="1" outlineLevel="2" x14ac:dyDescent="0.25">
      <c r="A16" t="str">
        <f>CONCATENATE(C16,"_",B16,D16,"_",E16)</f>
        <v>EJE_3MIS_Replace Tie Line Hub</v>
      </c>
      <c r="B16" s="6">
        <v>3</v>
      </c>
      <c r="C16" s="13" t="s">
        <v>45</v>
      </c>
      <c r="D16" s="13" t="s">
        <v>40</v>
      </c>
      <c r="E16" s="13" t="s">
        <v>42</v>
      </c>
      <c r="F16" s="14">
        <v>80000</v>
      </c>
      <c r="G16" s="1" t="s">
        <v>24</v>
      </c>
      <c r="H16" s="8">
        <v>0.33700000000000002</v>
      </c>
      <c r="I16" t="e">
        <f>RANK(F16,F$6:F$11,0)</f>
        <v>#N/A</v>
      </c>
      <c r="J16" s="7">
        <f t="shared" si="1"/>
        <v>80000</v>
      </c>
    </row>
    <row r="17" spans="1:10" ht="23" hidden="1" outlineLevel="2" x14ac:dyDescent="0.25">
      <c r="A17" t="str">
        <f>CONCATENATE(C17,"_",B17,D17,"_",E17)</f>
        <v>EJE_14MIS_Replace  Mainframe</v>
      </c>
      <c r="B17" s="6">
        <v>14</v>
      </c>
      <c r="C17" s="13" t="s">
        <v>45</v>
      </c>
      <c r="D17" s="13" t="s">
        <v>40</v>
      </c>
      <c r="E17" s="13" t="s">
        <v>71</v>
      </c>
      <c r="F17" s="14">
        <v>140000</v>
      </c>
      <c r="J17" s="7" t="str">
        <f t="shared" si="1"/>
        <v/>
      </c>
    </row>
    <row r="18" spans="1:10" ht="23" outlineLevel="1" collapsed="1" x14ac:dyDescent="0.25">
      <c r="B18" s="6"/>
      <c r="C18" s="13"/>
      <c r="D18" s="2" t="s">
        <v>81</v>
      </c>
      <c r="E18" s="13"/>
      <c r="F18" s="14">
        <f>SUBTOTAL(9,F16:F17)</f>
        <v>220000</v>
      </c>
    </row>
    <row r="19" spans="1:10" ht="23" hidden="1" outlineLevel="2" x14ac:dyDescent="0.25">
      <c r="A19" t="str">
        <f t="shared" ref="A19:A27" si="3">CONCATENATE(C19,"_",B19,D19,"_",E19)</f>
        <v>EJE_18MOW_Replace 1000 yard ties</v>
      </c>
      <c r="B19" s="6">
        <v>18</v>
      </c>
      <c r="C19" s="13" t="s">
        <v>45</v>
      </c>
      <c r="D19" s="13" t="s">
        <v>22</v>
      </c>
      <c r="E19" s="13" t="s">
        <v>48</v>
      </c>
      <c r="F19" s="14">
        <f>28000*3</f>
        <v>84000</v>
      </c>
      <c r="J19" s="7" t="str">
        <f t="shared" si="1"/>
        <v/>
      </c>
    </row>
    <row r="20" spans="1:10" ht="23" hidden="1" outlineLevel="2" x14ac:dyDescent="0.25">
      <c r="A20" t="str">
        <f t="shared" si="3"/>
        <v>EJE_21MOW_Pruchse Tie Crane</v>
      </c>
      <c r="B20" s="6">
        <v>21</v>
      </c>
      <c r="C20" s="13" t="s">
        <v>45</v>
      </c>
      <c r="D20" s="13" t="s">
        <v>22</v>
      </c>
      <c r="E20" s="13" t="s">
        <v>50</v>
      </c>
      <c r="F20" s="14">
        <v>95000</v>
      </c>
      <c r="J20" s="7" t="str">
        <f t="shared" si="1"/>
        <v/>
      </c>
    </row>
    <row r="21" spans="1:10" ht="23" hidden="1" outlineLevel="2" x14ac:dyDescent="0.25">
      <c r="A21" t="str">
        <f t="shared" si="3"/>
        <v>EJE_20MOW_Replace Bridge Inspector Truck</v>
      </c>
      <c r="B21" s="6">
        <v>20</v>
      </c>
      <c r="C21" s="13" t="s">
        <v>45</v>
      </c>
      <c r="D21" s="13" t="s">
        <v>22</v>
      </c>
      <c r="E21" s="13" t="s">
        <v>52</v>
      </c>
      <c r="F21" s="14">
        <v>165000</v>
      </c>
      <c r="J21" s="7" t="str">
        <f t="shared" si="1"/>
        <v/>
      </c>
    </row>
    <row r="22" spans="1:10" ht="23" hidden="1" outlineLevel="2" x14ac:dyDescent="0.25">
      <c r="A22" t="str">
        <f t="shared" si="3"/>
        <v>EJE_19MOW_Regrade Hump Yard</v>
      </c>
      <c r="B22" s="6">
        <v>19</v>
      </c>
      <c r="C22" s="13" t="s">
        <v>45</v>
      </c>
      <c r="D22" s="13" t="s">
        <v>22</v>
      </c>
      <c r="E22" s="13" t="s">
        <v>49</v>
      </c>
      <c r="F22" s="14">
        <v>180000</v>
      </c>
      <c r="J22" s="7" t="str">
        <f t="shared" si="1"/>
        <v/>
      </c>
    </row>
    <row r="23" spans="1:10" ht="23" hidden="1" outlineLevel="2" x14ac:dyDescent="0.25">
      <c r="A23" t="str">
        <f t="shared" si="3"/>
        <v>EJE_22MOW_Replace Tamper</v>
      </c>
      <c r="B23" s="6">
        <v>22</v>
      </c>
      <c r="C23" s="13" t="s">
        <v>45</v>
      </c>
      <c r="D23" s="13" t="s">
        <v>22</v>
      </c>
      <c r="E23" s="13" t="s">
        <v>51</v>
      </c>
      <c r="F23" s="14">
        <v>180000</v>
      </c>
      <c r="J23" s="7" t="str">
        <f t="shared" si="1"/>
        <v/>
      </c>
    </row>
    <row r="24" spans="1:10" ht="23" hidden="1" outlineLevel="2" x14ac:dyDescent="0.25">
      <c r="A24" t="str">
        <f t="shared" si="3"/>
        <v>EJE_23MOW_Replace 4 Work Crew Hi-rail trucks</v>
      </c>
      <c r="B24" s="6">
        <v>23</v>
      </c>
      <c r="C24" s="13" t="s">
        <v>45</v>
      </c>
      <c r="D24" s="13" t="s">
        <v>22</v>
      </c>
      <c r="E24" s="13" t="s">
        <v>53</v>
      </c>
      <c r="F24" s="14">
        <v>240000</v>
      </c>
      <c r="J24" s="7" t="str">
        <f t="shared" si="1"/>
        <v/>
      </c>
    </row>
    <row r="25" spans="1:10" ht="23" hidden="1" outlineLevel="2" x14ac:dyDescent="0.25">
      <c r="A25" t="str">
        <f t="shared" si="3"/>
        <v>EJE_16MOW_Redeck Joliet Bridge</v>
      </c>
      <c r="B25" s="6">
        <v>16</v>
      </c>
      <c r="C25" s="13" t="s">
        <v>45</v>
      </c>
      <c r="D25" s="13" t="s">
        <v>22</v>
      </c>
      <c r="E25" s="13" t="s">
        <v>63</v>
      </c>
      <c r="F25" s="14">
        <v>345000</v>
      </c>
      <c r="J25" s="7" t="str">
        <f t="shared" si="1"/>
        <v/>
      </c>
    </row>
    <row r="26" spans="1:10" ht="23" hidden="1" outlineLevel="2" x14ac:dyDescent="0.25">
      <c r="A26" t="str">
        <f t="shared" si="3"/>
        <v>EJE_17MOW_Replace 16 Turnouts</v>
      </c>
      <c r="B26" s="6">
        <v>17</v>
      </c>
      <c r="C26" s="13" t="s">
        <v>45</v>
      </c>
      <c r="D26" s="13" t="s">
        <v>22</v>
      </c>
      <c r="E26" s="13" t="s">
        <v>47</v>
      </c>
      <c r="F26" s="14">
        <v>640000</v>
      </c>
      <c r="J26" s="7" t="str">
        <f t="shared" si="1"/>
        <v/>
      </c>
    </row>
    <row r="27" spans="1:10" ht="23" hidden="1" outlineLevel="2" x14ac:dyDescent="0.25">
      <c r="A27" t="str">
        <f t="shared" si="3"/>
        <v>EJE_15MOW_Mainline Track Replacement</v>
      </c>
      <c r="B27" s="6">
        <v>15</v>
      </c>
      <c r="C27" s="13" t="s">
        <v>45</v>
      </c>
      <c r="D27" s="13" t="s">
        <v>22</v>
      </c>
      <c r="E27" s="13" t="s">
        <v>46</v>
      </c>
      <c r="F27" s="14">
        <v>1450000</v>
      </c>
      <c r="J27" s="7" t="str">
        <f t="shared" si="1"/>
        <v/>
      </c>
    </row>
    <row r="28" spans="1:10" ht="23" outlineLevel="1" collapsed="1" x14ac:dyDescent="0.25">
      <c r="B28" s="6"/>
      <c r="C28" s="13"/>
      <c r="D28" s="2" t="s">
        <v>82</v>
      </c>
      <c r="E28" s="13"/>
      <c r="F28" s="14">
        <f>SUBTOTAL(9,F19:F27)</f>
        <v>3379000</v>
      </c>
    </row>
    <row r="29" spans="1:10" ht="23" hidden="1" outlineLevel="2" x14ac:dyDescent="0.25">
      <c r="A29" t="str">
        <f>CONCATENATE(C29,"_",B29,D29,"_",E29)</f>
        <v>EJE_6TRN_Build Turnout to Haley Plant</v>
      </c>
      <c r="B29" s="6">
        <v>6</v>
      </c>
      <c r="C29" s="13" t="s">
        <v>45</v>
      </c>
      <c r="D29" s="13" t="s">
        <v>25</v>
      </c>
      <c r="E29" s="13" t="s">
        <v>62</v>
      </c>
      <c r="F29" s="14">
        <v>160000</v>
      </c>
      <c r="G29" s="1" t="s">
        <v>24</v>
      </c>
      <c r="H29" s="8">
        <v>0.28000000000000003</v>
      </c>
      <c r="I29" t="e">
        <f>RANK(F29,F$6:F$11,0)</f>
        <v>#N/A</v>
      </c>
      <c r="J29" s="7">
        <f t="shared" si="1"/>
        <v>160000</v>
      </c>
    </row>
    <row r="30" spans="1:10" ht="23" hidden="1" outlineLevel="2" x14ac:dyDescent="0.25">
      <c r="A30" t="str">
        <f>CONCATENATE(C30,"_",B30,D30,"_",E30)</f>
        <v>EJE_24TRN_Replace 6 Crew Vechhicles</v>
      </c>
      <c r="B30" s="6">
        <v>24</v>
      </c>
      <c r="C30" s="13" t="s">
        <v>45</v>
      </c>
      <c r="D30" s="13" t="s">
        <v>25</v>
      </c>
      <c r="E30" s="13" t="s">
        <v>37</v>
      </c>
      <c r="F30" s="14">
        <v>180000</v>
      </c>
      <c r="J30" s="7" t="str">
        <f t="shared" si="1"/>
        <v/>
      </c>
    </row>
    <row r="31" spans="1:10" ht="23" hidden="1" outlineLevel="2" x14ac:dyDescent="0.25">
      <c r="A31" t="str">
        <f>CONCATENATE(C31,"_",B31,D31,"_",E31)</f>
        <v>EJE_4TRN_Automate Interlocking @ Joliet &amp; Gary</v>
      </c>
      <c r="B31" s="6">
        <v>4</v>
      </c>
      <c r="C31" s="13" t="s">
        <v>45</v>
      </c>
      <c r="D31" s="13" t="s">
        <v>25</v>
      </c>
      <c r="E31" s="13" t="s">
        <v>60</v>
      </c>
      <c r="F31" s="14">
        <v>300000</v>
      </c>
      <c r="G31" s="1" t="s">
        <v>24</v>
      </c>
      <c r="H31" s="8">
        <v>0.35</v>
      </c>
      <c r="I31" t="e">
        <f>RANK(F31,F$6:F$11,0)</f>
        <v>#N/A</v>
      </c>
      <c r="J31" s="7">
        <f t="shared" si="1"/>
        <v>300000</v>
      </c>
    </row>
    <row r="32" spans="1:10" ht="23" hidden="1" outlineLevel="2" x14ac:dyDescent="0.25">
      <c r="A32" t="str">
        <f>CONCATENATE(C32,"_",B32,D32,"_",E32)</f>
        <v>EJE_5TRN_Build Turnout to Ford S. Chicago</v>
      </c>
      <c r="B32" s="6">
        <v>5</v>
      </c>
      <c r="C32" s="13" t="s">
        <v>45</v>
      </c>
      <c r="D32" s="13" t="s">
        <v>25</v>
      </c>
      <c r="E32" s="13" t="s">
        <v>61</v>
      </c>
      <c r="F32" s="14">
        <v>1200000</v>
      </c>
      <c r="G32" s="1" t="s">
        <v>24</v>
      </c>
      <c r="H32" s="8">
        <v>0.27900000000000003</v>
      </c>
      <c r="I32" t="e">
        <f>RANK(F32,F$6:F$11,0)</f>
        <v>#N/A</v>
      </c>
      <c r="J32" s="7">
        <f t="shared" si="1"/>
        <v>1200000</v>
      </c>
    </row>
    <row r="33" spans="1:11" ht="23" outlineLevel="1" collapsed="1" x14ac:dyDescent="0.25">
      <c r="B33" s="6"/>
      <c r="C33" s="13"/>
      <c r="D33" s="2" t="s">
        <v>83</v>
      </c>
      <c r="E33" s="13"/>
      <c r="F33" s="14">
        <f>SUBTOTAL(9,F29:F32)</f>
        <v>1840000</v>
      </c>
    </row>
    <row r="34" spans="1:11" ht="23" x14ac:dyDescent="0.25">
      <c r="B34" s="6"/>
      <c r="C34" s="13" t="s">
        <v>76</v>
      </c>
      <c r="D34" s="2"/>
      <c r="E34" s="13"/>
      <c r="F34" s="15">
        <f>SUBTOTAL(9,F6:F32)</f>
        <v>9231000</v>
      </c>
    </row>
    <row r="35" spans="1:11" ht="23" x14ac:dyDescent="0.25">
      <c r="A35" t="str">
        <f>CONCATENATE(C35,"_",B35,D38,"_",E38)</f>
        <v>_25MEC_Purchase Automated Welder</v>
      </c>
      <c r="B35" s="6">
        <v>25</v>
      </c>
      <c r="C35" s="13"/>
      <c r="D35" s="13"/>
      <c r="E35" s="13"/>
      <c r="F35" s="14"/>
      <c r="G35" s="1" t="s">
        <v>24</v>
      </c>
      <c r="H35" s="8">
        <v>0.22500000000000001</v>
      </c>
      <c r="I35">
        <f>RANK(F38,F$36:F$39,0)</f>
        <v>4</v>
      </c>
      <c r="J35" s="7">
        <f>IF(G35="Y",F38,"")</f>
        <v>45000</v>
      </c>
      <c r="K35">
        <f>RANK(H35,H$35:H$39,0)</f>
        <v>1</v>
      </c>
    </row>
    <row r="36" spans="1:11" ht="23" hidden="1" outlineLevel="2" x14ac:dyDescent="0.25">
      <c r="A36" t="str">
        <f>CONCATENATE(C36,"_",B36,D36,"_",E36)</f>
        <v>URR_29MEC_Replace Shop Overhead Crane</v>
      </c>
      <c r="B36" s="6">
        <v>29</v>
      </c>
      <c r="C36" s="13" t="s">
        <v>20</v>
      </c>
      <c r="D36" s="13" t="s">
        <v>23</v>
      </c>
      <c r="E36" s="13" t="s">
        <v>72</v>
      </c>
      <c r="F36" s="14">
        <v>60000</v>
      </c>
      <c r="J36" s="7" t="str">
        <f t="shared" si="1"/>
        <v/>
      </c>
      <c r="K36" t="e">
        <f>RANK(H36,H$35:H$39,0)</f>
        <v>#N/A</v>
      </c>
    </row>
    <row r="37" spans="1:11" ht="23" hidden="1" outlineLevel="2" x14ac:dyDescent="0.25">
      <c r="A37" t="str">
        <f>CONCATENATE(C37,"_",B37,D37,"_",E37)</f>
        <v>URR_33MEC_Purchase 100 Replacement Wheels</v>
      </c>
      <c r="B37" s="6">
        <v>33</v>
      </c>
      <c r="C37" s="13" t="s">
        <v>20</v>
      </c>
      <c r="D37" s="13" t="s">
        <v>23</v>
      </c>
      <c r="E37" s="13" t="s">
        <v>34</v>
      </c>
      <c r="F37" s="14">
        <f>100*900</f>
        <v>90000</v>
      </c>
      <c r="J37" s="7" t="str">
        <f t="shared" si="1"/>
        <v/>
      </c>
      <c r="K37" t="e">
        <f>RANK(H37,H$35:H$39,0)</f>
        <v>#N/A</v>
      </c>
    </row>
    <row r="38" spans="1:11" ht="23" hidden="1" outlineLevel="2" x14ac:dyDescent="0.25">
      <c r="B38" s="6"/>
      <c r="C38" s="13"/>
      <c r="D38" s="13" t="s">
        <v>23</v>
      </c>
      <c r="E38" s="13" t="s">
        <v>31</v>
      </c>
      <c r="F38" s="14">
        <v>45000</v>
      </c>
    </row>
    <row r="39" spans="1:11" ht="23" hidden="1" outlineLevel="2" x14ac:dyDescent="0.25">
      <c r="A39" t="str">
        <f>CONCATENATE(C39,"_",B39,D39,"_",E39)</f>
        <v>URR_31MEC_Rebuild 16 Cabooses</v>
      </c>
      <c r="B39" s="6">
        <v>31</v>
      </c>
      <c r="C39" s="13" t="s">
        <v>20</v>
      </c>
      <c r="D39" s="13" t="s">
        <v>23</v>
      </c>
      <c r="E39" s="13" t="s">
        <v>32</v>
      </c>
      <c r="F39" s="14">
        <f>16*8000</f>
        <v>128000</v>
      </c>
      <c r="J39" s="7" t="str">
        <f t="shared" si="1"/>
        <v/>
      </c>
      <c r="K39" t="e">
        <f>RANK(H39,H$35:H$39,0)</f>
        <v>#N/A</v>
      </c>
    </row>
    <row r="40" spans="1:11" ht="23" hidden="1" outlineLevel="2" x14ac:dyDescent="0.25">
      <c r="A40" t="str">
        <f>CONCATENATE(C40,"_",B40,D40,"_",E40)</f>
        <v>URR_30MEC_Rebuild 80 Hopper Car Sides</v>
      </c>
      <c r="B40" s="6">
        <v>30</v>
      </c>
      <c r="C40" s="13" t="s">
        <v>20</v>
      </c>
      <c r="D40" s="13" t="s">
        <v>23</v>
      </c>
      <c r="E40" s="13" t="s">
        <v>30</v>
      </c>
      <c r="F40" s="14">
        <f>80*2250</f>
        <v>180000</v>
      </c>
      <c r="J40" s="7" t="str">
        <f t="shared" si="1"/>
        <v/>
      </c>
    </row>
    <row r="41" spans="1:11" ht="23" hidden="1" outlineLevel="2" x14ac:dyDescent="0.25">
      <c r="A41" t="str">
        <f>CONCATENATE(C41,"_",B41,D41,"_",E41)</f>
        <v>URR_34MEC_Major Rebuild 4 Locos</v>
      </c>
      <c r="B41" s="6">
        <v>34</v>
      </c>
      <c r="C41" s="13" t="s">
        <v>20</v>
      </c>
      <c r="D41" s="13" t="s">
        <v>23</v>
      </c>
      <c r="E41" s="13" t="s">
        <v>43</v>
      </c>
      <c r="F41" s="14">
        <f>4*45000</f>
        <v>180000</v>
      </c>
      <c r="J41" s="7" t="str">
        <f t="shared" si="1"/>
        <v/>
      </c>
    </row>
    <row r="42" spans="1:11" ht="23" hidden="1" outlineLevel="2" x14ac:dyDescent="0.25">
      <c r="A42" t="str">
        <f>CONCATENATE(C42,"_",B42,D42,"_",E42)</f>
        <v>URR_32MEC_Purchase 80 Wheelsets</v>
      </c>
      <c r="B42" s="6">
        <v>32</v>
      </c>
      <c r="C42" s="13" t="s">
        <v>20</v>
      </c>
      <c r="D42" s="13" t="s">
        <v>23</v>
      </c>
      <c r="E42" s="13" t="s">
        <v>33</v>
      </c>
      <c r="F42" s="14">
        <f>80*2500</f>
        <v>200000</v>
      </c>
      <c r="J42" s="7" t="str">
        <f t="shared" si="1"/>
        <v/>
      </c>
    </row>
    <row r="43" spans="1:11" ht="23" hidden="1" outlineLevel="2" x14ac:dyDescent="0.25">
      <c r="A43" t="str">
        <f>CONCATENATE(C43,"_",B43,D43,"_",E43)</f>
        <v>URR_35MEC_Purchase 2 Used Switcher Locos</v>
      </c>
      <c r="B43" s="6">
        <v>35</v>
      </c>
      <c r="C43" s="13" t="s">
        <v>20</v>
      </c>
      <c r="D43" s="13" t="s">
        <v>23</v>
      </c>
      <c r="E43" s="13" t="s">
        <v>35</v>
      </c>
      <c r="F43" s="14">
        <v>300000</v>
      </c>
      <c r="J43" s="7" t="str">
        <f t="shared" si="1"/>
        <v/>
      </c>
    </row>
    <row r="44" spans="1:11" ht="23" outlineLevel="1" collapsed="1" x14ac:dyDescent="0.25">
      <c r="B44" s="6"/>
      <c r="C44" s="13"/>
      <c r="D44" s="2" t="s">
        <v>80</v>
      </c>
      <c r="E44" s="13"/>
      <c r="F44" s="14">
        <f>SUBTOTAL(9,F36:F43)</f>
        <v>1183000</v>
      </c>
    </row>
    <row r="45" spans="1:11" ht="23" hidden="1" outlineLevel="2" x14ac:dyDescent="0.25">
      <c r="A45" t="str">
        <f>CONCATENATE(C45,"_",B45,D45,"_",E45)</f>
        <v>URR_26MIS_Expand WAN</v>
      </c>
      <c r="B45" s="6">
        <v>26</v>
      </c>
      <c r="C45" s="13" t="s">
        <v>20</v>
      </c>
      <c r="D45" s="13" t="s">
        <v>40</v>
      </c>
      <c r="E45" s="13" t="s">
        <v>41</v>
      </c>
      <c r="F45" s="14">
        <v>35000</v>
      </c>
      <c r="G45" s="1" t="s">
        <v>24</v>
      </c>
      <c r="H45" s="8">
        <v>0.16500000000000001</v>
      </c>
      <c r="I45" t="e">
        <f>RANK(F45,F$36:F$39,0)</f>
        <v>#N/A</v>
      </c>
      <c r="J45" s="7">
        <f t="shared" ref="J45:J67" si="4">IF(G45="Y",F45,"")</f>
        <v>35000</v>
      </c>
    </row>
    <row r="46" spans="1:11" ht="23" hidden="1" outlineLevel="2" x14ac:dyDescent="0.25">
      <c r="A46" t="str">
        <f>CONCATENATE(C46,"_",B46,D46,"_",E46)</f>
        <v>URR_27MIS_Replace Tie Line Hub</v>
      </c>
      <c r="B46" s="6">
        <v>27</v>
      </c>
      <c r="C46" s="13" t="s">
        <v>20</v>
      </c>
      <c r="D46" s="13" t="s">
        <v>40</v>
      </c>
      <c r="E46" s="13" t="s">
        <v>42</v>
      </c>
      <c r="F46" s="14">
        <v>40000</v>
      </c>
      <c r="G46" s="1" t="s">
        <v>24</v>
      </c>
      <c r="H46" s="8">
        <v>0.33700000000000002</v>
      </c>
      <c r="I46" t="e">
        <f>RANK(F46,F$36:F$39,0)</f>
        <v>#N/A</v>
      </c>
      <c r="J46" s="7">
        <f t="shared" si="4"/>
        <v>40000</v>
      </c>
    </row>
    <row r="47" spans="1:11" ht="23" outlineLevel="1" collapsed="1" x14ac:dyDescent="0.25">
      <c r="B47" s="6"/>
      <c r="C47" s="13"/>
      <c r="D47" s="2" t="s">
        <v>81</v>
      </c>
      <c r="E47" s="13"/>
      <c r="F47" s="14">
        <f>SUBTOTAL(9,F45:F46)</f>
        <v>75000</v>
      </c>
    </row>
    <row r="48" spans="1:11" ht="23" hidden="1" outlineLevel="2" x14ac:dyDescent="0.25">
      <c r="A48" t="str">
        <f t="shared" ref="A48:A54" si="5">CONCATENATE(C48,"_",B48,D48,"_",E48)</f>
        <v>URR_38MOW_Replace 300 yard ties</v>
      </c>
      <c r="B48" s="6">
        <v>38</v>
      </c>
      <c r="C48" s="13" t="s">
        <v>20</v>
      </c>
      <c r="D48" s="13" t="s">
        <v>22</v>
      </c>
      <c r="E48" s="13" t="s">
        <v>27</v>
      </c>
      <c r="F48" s="14">
        <v>28000</v>
      </c>
      <c r="J48" s="7" t="str">
        <f t="shared" si="4"/>
        <v/>
      </c>
    </row>
    <row r="49" spans="1:11" ht="23" hidden="1" outlineLevel="2" x14ac:dyDescent="0.25">
      <c r="A49" t="str">
        <f t="shared" si="5"/>
        <v>URR_39MOW_Rebuild 6 Culverts</v>
      </c>
      <c r="B49" s="6">
        <v>39</v>
      </c>
      <c r="C49" s="13" t="s">
        <v>20</v>
      </c>
      <c r="D49" s="13" t="s">
        <v>22</v>
      </c>
      <c r="E49" s="13" t="s">
        <v>28</v>
      </c>
      <c r="F49" s="14">
        <v>42000</v>
      </c>
      <c r="J49" s="7" t="str">
        <f t="shared" si="4"/>
        <v/>
      </c>
    </row>
    <row r="50" spans="1:11" ht="23" hidden="1" outlineLevel="2" x14ac:dyDescent="0.25">
      <c r="A50" t="str">
        <f t="shared" si="5"/>
        <v>URR_42MOW_Purchase 1 Front-end Loader</v>
      </c>
      <c r="B50" s="6">
        <v>42</v>
      </c>
      <c r="C50" s="13" t="s">
        <v>20</v>
      </c>
      <c r="D50" s="13" t="s">
        <v>22</v>
      </c>
      <c r="E50" s="13" t="s">
        <v>39</v>
      </c>
      <c r="F50" s="14">
        <v>140000</v>
      </c>
      <c r="J50" s="7" t="str">
        <f t="shared" si="4"/>
        <v/>
      </c>
    </row>
    <row r="51" spans="1:11" ht="23" hidden="1" outlineLevel="2" x14ac:dyDescent="0.25">
      <c r="A51" t="str">
        <f t="shared" si="5"/>
        <v>URR_40MOW_Purchase Tie Machine</v>
      </c>
      <c r="B51" s="6">
        <v>40</v>
      </c>
      <c r="C51" s="13" t="s">
        <v>20</v>
      </c>
      <c r="D51" s="13" t="s">
        <v>22</v>
      </c>
      <c r="E51" s="13" t="s">
        <v>29</v>
      </c>
      <c r="F51" s="14">
        <v>145000</v>
      </c>
      <c r="J51" s="7" t="str">
        <f t="shared" si="4"/>
        <v/>
      </c>
    </row>
    <row r="52" spans="1:11" ht="23" hidden="1" outlineLevel="2" x14ac:dyDescent="0.25">
      <c r="A52" t="str">
        <f t="shared" si="5"/>
        <v>URR_41MOW_Replace 2 Heavy Work Trucks</v>
      </c>
      <c r="B52" s="6">
        <v>41</v>
      </c>
      <c r="C52" s="13" t="s">
        <v>20</v>
      </c>
      <c r="D52" s="13" t="s">
        <v>22</v>
      </c>
      <c r="E52" s="13" t="s">
        <v>38</v>
      </c>
      <c r="F52" s="14">
        <v>170000</v>
      </c>
      <c r="J52" s="7" t="str">
        <f t="shared" si="4"/>
        <v/>
      </c>
    </row>
    <row r="53" spans="1:11" ht="23" hidden="1" outlineLevel="2" x14ac:dyDescent="0.25">
      <c r="A53" t="str">
        <f t="shared" si="5"/>
        <v>URR_37MOW_Replace 8 Turnouts</v>
      </c>
      <c r="B53" s="6">
        <v>37</v>
      </c>
      <c r="C53" s="13" t="s">
        <v>20</v>
      </c>
      <c r="D53" s="13" t="s">
        <v>22</v>
      </c>
      <c r="E53" s="13" t="s">
        <v>26</v>
      </c>
      <c r="F53" s="14">
        <v>320000</v>
      </c>
      <c r="J53" s="7" t="str">
        <f t="shared" si="4"/>
        <v/>
      </c>
    </row>
    <row r="54" spans="1:11" ht="23" hidden="1" outlineLevel="2" x14ac:dyDescent="0.25">
      <c r="A54" t="str">
        <f t="shared" si="5"/>
        <v>URR_36MOW_Mainline Track Replacement</v>
      </c>
      <c r="B54" s="6">
        <v>36</v>
      </c>
      <c r="C54" s="13" t="s">
        <v>20</v>
      </c>
      <c r="D54" s="13" t="s">
        <v>22</v>
      </c>
      <c r="E54" s="13" t="s">
        <v>46</v>
      </c>
      <c r="F54" s="14">
        <v>670000</v>
      </c>
      <c r="J54" s="7" t="str">
        <f t="shared" si="4"/>
        <v/>
      </c>
    </row>
    <row r="55" spans="1:11" ht="23" outlineLevel="1" collapsed="1" x14ac:dyDescent="0.25">
      <c r="B55" s="6"/>
      <c r="C55" s="13"/>
      <c r="D55" s="2" t="s">
        <v>82</v>
      </c>
      <c r="E55" s="13"/>
      <c r="F55" s="14">
        <f>SUBTOTAL(9,F48:F54)</f>
        <v>1515000</v>
      </c>
    </row>
    <row r="56" spans="1:11" ht="23" hidden="1" outlineLevel="2" x14ac:dyDescent="0.25">
      <c r="A56" t="str">
        <f>CONCATENATE(C56,"_",B56,D56,"_",E56)</f>
        <v>URR_43TRN_Replace Control Room Display System</v>
      </c>
      <c r="B56" s="6">
        <v>43</v>
      </c>
      <c r="C56" s="13" t="s">
        <v>20</v>
      </c>
      <c r="D56" s="13" t="s">
        <v>25</v>
      </c>
      <c r="E56" s="13" t="s">
        <v>36</v>
      </c>
      <c r="F56" s="14">
        <v>9800</v>
      </c>
      <c r="J56" s="7" t="str">
        <f t="shared" si="4"/>
        <v/>
      </c>
    </row>
    <row r="57" spans="1:11" ht="23" hidden="1" outlineLevel="2" x14ac:dyDescent="0.25">
      <c r="A57" t="str">
        <f>CONCATENATE(C57,"_",B57,D57,"_",E57)</f>
        <v>URR_28TRN_Build Turnout to Snavley Lumber</v>
      </c>
      <c r="B57" s="6">
        <v>28</v>
      </c>
      <c r="C57" s="13" t="s">
        <v>20</v>
      </c>
      <c r="D57" s="13" t="s">
        <v>25</v>
      </c>
      <c r="E57" s="13" t="s">
        <v>44</v>
      </c>
      <c r="F57" s="14">
        <v>145000</v>
      </c>
      <c r="G57" s="1" t="s">
        <v>24</v>
      </c>
      <c r="H57" s="8">
        <v>0.217</v>
      </c>
      <c r="I57" t="e">
        <f>RANK(F57,F$36:F$39,0)</f>
        <v>#N/A</v>
      </c>
      <c r="J57" s="7">
        <f t="shared" si="4"/>
        <v>145000</v>
      </c>
    </row>
    <row r="58" spans="1:11" ht="23" hidden="1" outlineLevel="2" x14ac:dyDescent="0.25">
      <c r="A58" t="str">
        <f>CONCATENATE(C58,"_",B58,D58,"_",E58)</f>
        <v>URR_45TRN_Replace 6 Crew Vechhicles</v>
      </c>
      <c r="B58" s="6">
        <v>45</v>
      </c>
      <c r="C58" s="13" t="s">
        <v>20</v>
      </c>
      <c r="D58" s="13" t="s">
        <v>25</v>
      </c>
      <c r="E58" s="13" t="s">
        <v>37</v>
      </c>
      <c r="F58" s="14">
        <v>180000</v>
      </c>
      <c r="J58" s="7" t="str">
        <f t="shared" si="4"/>
        <v/>
      </c>
    </row>
    <row r="59" spans="1:11" ht="23" hidden="1" outlineLevel="2" x14ac:dyDescent="0.25">
      <c r="A59" t="str">
        <f>CONCATENATE(C59,"_",B59,D59,"_",E59)</f>
        <v>URR_44TRN_Replace Control Tower at "J"</v>
      </c>
      <c r="B59" s="6">
        <v>44</v>
      </c>
      <c r="C59" s="13" t="s">
        <v>20</v>
      </c>
      <c r="D59" s="13" t="s">
        <v>25</v>
      </c>
      <c r="E59" s="13" t="s">
        <v>73</v>
      </c>
      <c r="F59" s="14">
        <v>220000</v>
      </c>
      <c r="J59" s="7" t="str">
        <f t="shared" si="4"/>
        <v/>
      </c>
    </row>
    <row r="60" spans="1:11" ht="23" outlineLevel="1" collapsed="1" x14ac:dyDescent="0.25">
      <c r="B60" s="6"/>
      <c r="C60" s="13"/>
      <c r="D60" s="2" t="s">
        <v>83</v>
      </c>
      <c r="E60" s="13"/>
      <c r="F60" s="14">
        <f>SUBTOTAL(9,F56:F59)</f>
        <v>554800</v>
      </c>
    </row>
    <row r="61" spans="1:11" ht="23" x14ac:dyDescent="0.25">
      <c r="B61" s="6"/>
      <c r="C61" s="2" t="s">
        <v>77</v>
      </c>
      <c r="D61" s="2"/>
      <c r="E61" s="13"/>
      <c r="F61" s="15">
        <f>SUBTOTAL(9,F36:F59)</f>
        <v>3327800</v>
      </c>
    </row>
    <row r="62" spans="1:11" ht="23" hidden="1" outlineLevel="2" x14ac:dyDescent="0.25">
      <c r="A62" t="str">
        <f t="shared" ref="A62:A67" si="6">CONCATENATE(C62,"_",B62,D62,"_",E62)</f>
        <v>WGN_49TRN_Replace 2 Tug Engines</v>
      </c>
      <c r="B62" s="6">
        <v>49</v>
      </c>
      <c r="C62" s="13" t="s">
        <v>65</v>
      </c>
      <c r="D62" s="13" t="s">
        <v>25</v>
      </c>
      <c r="E62" s="13" t="s">
        <v>67</v>
      </c>
      <c r="F62" s="14">
        <v>170000</v>
      </c>
      <c r="J62" s="7" t="str">
        <f t="shared" si="4"/>
        <v/>
      </c>
      <c r="K62">
        <f>H62/(MAX(H$6:H$67))</f>
        <v>0</v>
      </c>
    </row>
    <row r="63" spans="1:11" ht="23" hidden="1" outlineLevel="2" x14ac:dyDescent="0.25">
      <c r="A63" t="str">
        <f t="shared" si="6"/>
        <v>WGN_50TRN_Upgrade Radar Systems on Tugs</v>
      </c>
      <c r="B63" s="6">
        <v>50</v>
      </c>
      <c r="C63" s="13" t="s">
        <v>65</v>
      </c>
      <c r="D63" s="13" t="s">
        <v>25</v>
      </c>
      <c r="E63" s="13" t="s">
        <v>70</v>
      </c>
      <c r="F63" s="14">
        <f>12000*18</f>
        <v>216000</v>
      </c>
      <c r="J63" s="7" t="str">
        <f t="shared" si="4"/>
        <v/>
      </c>
      <c r="K63">
        <f>H63/(MAX(H$6:H$67))</f>
        <v>0</v>
      </c>
    </row>
    <row r="64" spans="1:11" ht="23" hidden="1" outlineLevel="2" x14ac:dyDescent="0.25">
      <c r="A64" t="str">
        <f t="shared" si="6"/>
        <v>WGN_46TRN_Convert 8 barges for Woodchips</v>
      </c>
      <c r="B64" s="6">
        <v>46</v>
      </c>
      <c r="C64" s="13" t="s">
        <v>65</v>
      </c>
      <c r="D64" s="13" t="s">
        <v>25</v>
      </c>
      <c r="E64" s="13" t="s">
        <v>68</v>
      </c>
      <c r="F64" s="14">
        <f>8*35000</f>
        <v>280000</v>
      </c>
      <c r="G64" s="1" t="s">
        <v>24</v>
      </c>
      <c r="H64" s="8">
        <v>0.186</v>
      </c>
      <c r="I64">
        <v>1</v>
      </c>
      <c r="J64" s="7">
        <f t="shared" si="4"/>
        <v>280000</v>
      </c>
    </row>
    <row r="65" spans="1:10" ht="23" hidden="1" outlineLevel="2" x14ac:dyDescent="0.25">
      <c r="A65" t="str">
        <f t="shared" si="6"/>
        <v>WGN_51TRN_Rebuild Drydock #2</v>
      </c>
      <c r="B65" s="6">
        <v>51</v>
      </c>
      <c r="C65" s="13" t="s">
        <v>65</v>
      </c>
      <c r="D65" s="13" t="s">
        <v>25</v>
      </c>
      <c r="E65" s="13" t="s">
        <v>74</v>
      </c>
      <c r="F65" s="14">
        <v>350000</v>
      </c>
      <c r="J65" s="7" t="str">
        <f t="shared" si="4"/>
        <v/>
      </c>
    </row>
    <row r="66" spans="1:10" ht="23" hidden="1" outlineLevel="2" x14ac:dyDescent="0.25">
      <c r="A66" t="str">
        <f t="shared" si="6"/>
        <v>WGN_48TRN_Replace 6 Barges</v>
      </c>
      <c r="B66" s="6">
        <v>48</v>
      </c>
      <c r="C66" s="13" t="s">
        <v>65</v>
      </c>
      <c r="D66" s="13" t="s">
        <v>25</v>
      </c>
      <c r="E66" s="13" t="s">
        <v>66</v>
      </c>
      <c r="F66" s="14">
        <f>6*400000</f>
        <v>2400000</v>
      </c>
      <c r="J66" s="7" t="str">
        <f t="shared" si="4"/>
        <v/>
      </c>
    </row>
    <row r="67" spans="1:10" ht="23" hidden="1" outlineLevel="2" x14ac:dyDescent="0.25">
      <c r="A67" t="str">
        <f t="shared" si="6"/>
        <v>WGN_47TRN_Purchase 8 Dedicated Woodchip Barges</v>
      </c>
      <c r="B67" s="6">
        <v>47</v>
      </c>
      <c r="C67" s="13" t="s">
        <v>65</v>
      </c>
      <c r="D67" s="13" t="s">
        <v>25</v>
      </c>
      <c r="E67" s="13" t="s">
        <v>69</v>
      </c>
      <c r="F67" s="14">
        <f>8*425000</f>
        <v>3400000</v>
      </c>
      <c r="G67" s="1" t="s">
        <v>24</v>
      </c>
      <c r="H67" s="8">
        <v>0.26200000000000001</v>
      </c>
      <c r="I67">
        <v>2</v>
      </c>
      <c r="J67" s="7">
        <f t="shared" si="4"/>
        <v>3400000</v>
      </c>
    </row>
    <row r="68" spans="1:10" ht="24" outlineLevel="1" collapsed="1" thickBot="1" x14ac:dyDescent="0.3">
      <c r="B68" s="6"/>
      <c r="C68" s="2" t="s">
        <v>78</v>
      </c>
      <c r="D68" s="13"/>
      <c r="E68" s="13"/>
      <c r="F68" s="16">
        <f>SUBTOTAL(9,F62:F67)</f>
        <v>6816000</v>
      </c>
    </row>
    <row r="69" spans="1:10" ht="23" x14ac:dyDescent="0.25">
      <c r="B69" s="6"/>
      <c r="C69" s="2" t="s">
        <v>79</v>
      </c>
      <c r="D69" s="13"/>
      <c r="E69" s="13"/>
      <c r="F69" s="14">
        <f>SUBTOTAL(9,F6:F67)</f>
        <v>19374800</v>
      </c>
    </row>
  </sheetData>
  <phoneticPr fontId="0" type="noConversion"/>
  <printOptions horizontalCentered="1" verticalCentered="1"/>
  <pageMargins left="0.5" right="0.5" top="0.5" bottom="0.5" header="0.25" footer="0.25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A6" sqref="A6:C8"/>
    </sheetView>
  </sheetViews>
  <sheetFormatPr baseColWidth="10" defaultColWidth="9" defaultRowHeight="13" x14ac:dyDescent="0.15"/>
  <cols>
    <col min="1" max="1" width="13.19921875" customWidth="1"/>
    <col min="2" max="2" width="37.59765625" customWidth="1"/>
    <col min="3" max="3" width="19" customWidth="1"/>
    <col min="4" max="4" width="14.796875" customWidth="1"/>
    <col min="5" max="5" width="9.19921875" bestFit="1" customWidth="1"/>
    <col min="6" max="6" width="12" customWidth="1"/>
  </cols>
  <sheetData>
    <row r="2" spans="1:6" ht="14" thickBot="1" x14ac:dyDescent="0.2"/>
    <row r="3" spans="1:6" ht="18" thickBot="1" x14ac:dyDescent="0.25">
      <c r="A3" s="18" t="s">
        <v>88</v>
      </c>
      <c r="B3" s="18" t="s">
        <v>17</v>
      </c>
      <c r="C3" s="19" t="s">
        <v>84</v>
      </c>
      <c r="D3" s="20" t="s">
        <v>85</v>
      </c>
      <c r="E3" s="20" t="s">
        <v>86</v>
      </c>
      <c r="F3" s="21" t="s">
        <v>87</v>
      </c>
    </row>
    <row r="4" spans="1:6" ht="17" x14ac:dyDescent="0.2">
      <c r="A4" s="22" t="s">
        <v>89</v>
      </c>
      <c r="B4" s="22" t="s">
        <v>90</v>
      </c>
      <c r="C4" s="23">
        <f>8*35000</f>
        <v>280000</v>
      </c>
      <c r="D4" s="23">
        <v>365000</v>
      </c>
      <c r="E4" s="24">
        <v>0.186</v>
      </c>
      <c r="F4" s="25">
        <v>3.1</v>
      </c>
    </row>
    <row r="5" spans="1:6" ht="18" thickBot="1" x14ac:dyDescent="0.25">
      <c r="A5" s="22" t="s">
        <v>89</v>
      </c>
      <c r="B5" s="22" t="s">
        <v>91</v>
      </c>
      <c r="C5" s="23">
        <f>8*425000</f>
        <v>3400000</v>
      </c>
      <c r="D5" s="23">
        <v>5250000</v>
      </c>
      <c r="E5" s="24">
        <v>0.26200000000000001</v>
      </c>
      <c r="F5" s="25">
        <v>4.95</v>
      </c>
    </row>
    <row r="6" spans="1:6" ht="18" thickBot="1" x14ac:dyDescent="0.25">
      <c r="A6" s="17" t="s">
        <v>88</v>
      </c>
      <c r="B6" s="18" t="s">
        <v>17</v>
      </c>
      <c r="C6" s="26" t="s">
        <v>84</v>
      </c>
    </row>
    <row r="7" spans="1:6" x14ac:dyDescent="0.15">
      <c r="A7" t="s">
        <v>23</v>
      </c>
      <c r="B7" t="s">
        <v>35</v>
      </c>
      <c r="C7" s="7">
        <v>300000</v>
      </c>
    </row>
    <row r="8" spans="1:6" x14ac:dyDescent="0.15">
      <c r="A8" t="s">
        <v>22</v>
      </c>
      <c r="B8" t="s">
        <v>46</v>
      </c>
      <c r="C8" s="7">
        <v>670000</v>
      </c>
    </row>
  </sheetData>
  <phoneticPr fontId="0" type="noConversion"/>
  <pageMargins left="0.7" right="0.7" top="0.75" bottom="0.75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R&amp;D2</vt:lpstr>
      <vt:lpstr>project list</vt:lpstr>
      <vt:lpstr>project list (2)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Rozann Saaty</dc:creator>
  <cp:lastModifiedBy>E R</cp:lastModifiedBy>
  <cp:lastPrinted>2003-10-03T17:52:31Z</cp:lastPrinted>
  <dcterms:created xsi:type="dcterms:W3CDTF">1997-06-17T18:07:36Z</dcterms:created>
  <dcterms:modified xsi:type="dcterms:W3CDTF">2017-02-22T02:19:03Z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-741686653</vt:i4>
  </property>
  <property fmtid="{D5CDD505-2E9C-101B-9397-08002B2CF9AE}" pid="3" name="_EmailSubject">
    <vt:lpwstr>Here is the file that won't go up to server and come back down intact.  It is always corrupted.</vt:lpwstr>
  </property>
  <property fmtid="{D5CDD505-2E9C-101B-9397-08002B2CF9AE}" pid="4" name="_AuthorEmail">
    <vt:lpwstr>rozann@creativedecisions.net</vt:lpwstr>
  </property>
  <property fmtid="{D5CDD505-2E9C-101B-9397-08002B2CF9AE}" pid="5" name="_AuthorEmailDisplayName">
    <vt:lpwstr>Rozann W. Saaty</vt:lpwstr>
  </property>
  <property fmtid="{D5CDD505-2E9C-101B-9397-08002B2CF9AE}" pid="6" name="_ReviewingToolsShownOnce">
    <vt:lpwstr/>
  </property>
</Properties>
</file>